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<sst xmlns="http://schemas.openxmlformats.org/spreadsheetml/2006/main" count="3160" uniqueCount="3160">
  <si>
    <t>Date Type:</t>
  </si>
  <si>
    <t>Shipped Date</t>
  </si>
  <si>
    <t>Start Date:</t>
  </si>
  <si>
    <t>01/01/2023</t>
  </si>
  <si>
    <t>End Date:</t>
  </si>
  <si>
    <t>03/31/2023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</si>
  <si>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</si>
  <si>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</si>
  <si>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</si>
  <si>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</si>
  <si>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</si>
  <si>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</si>
  <si>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</si>
  <si>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</si>
  <si>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</si>
  <si>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</si>
  <si>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</si>
  <si>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</si>
  <si>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</si>
  <si>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</si>
  <si>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</si>
  <si>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</si>
  <si>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</si>
  <si>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</si>
  <si>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</si>
  <si>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</si>
  <si>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</si>
  <si>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</si>
  <si>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</si>
  <si>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</si>
  <si>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</si>
  <si>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</si>
  <si>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</si>
  <si>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</si>
  <si>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</si>
  <si>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</si>
  <si>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</si>
  <si>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</si>
  <si>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</si>
  <si>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</si>
  <si>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</si>
  <si>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</si>
  <si>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</si>
  <si>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</si>
  <si>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</si>
  <si>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</si>
  <si>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</si>
  <si>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</si>
  <si>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</si>
  <si>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</si>
  <si>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</si>
  <si>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</si>
  <si>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</si>
  <si>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</si>
  <si>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</si>
  <si>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</si>
  <si>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</si>
  <si>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</si>
  <si>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</si>
  <si>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</si>
  <si>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</si>
  <si>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</si>
  <si>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</si>
  <si>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</si>
  <si>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</si>
  <si>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</si>
  <si>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</si>
  <si>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</si>
  <si>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</si>
  <si>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</si>
  <si>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</si>
  <si>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</si>
  <si>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</si>
  <si>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</si>
  <si>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</si>
  <si>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</si>
  <si>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</si>
  <si>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</si>
  <si>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</si>
  <si>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</si>
  <si>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</si>
  <si>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</si>
  <si>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</si>
  <si>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</si>
  <si>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</si>
  <si>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WIN40-115</t>
  </si>
  <si>
    <t>WIN</t>
  </si>
  <si>
    <t>Madison Park</t>
  </si>
  <si>
    <t>WINDOW PANEL</t>
  </si>
  <si>
    <t>Emilia</t>
  </si>
  <si>
    <t>Natalie</t>
  </si>
  <si>
    <t>Lillian</t>
  </si>
  <si>
    <t>Twist Tab Lined Window Curtain Panel</t>
  </si>
  <si>
    <t>50x84"</t>
  </si>
  <si>
    <t>White</t>
  </si>
  <si>
    <t>Active</t>
  </si>
  <si>
    <t>A++</t>
  </si>
  <si>
    <t>NO</t>
  </si>
  <si>
    <t/>
  </si>
  <si>
    <t>PF003958</t>
  </si>
  <si>
    <t>1</t>
  </si>
  <si>
    <t>Solid</t>
  </si>
  <si>
    <t>Transitional</t>
  </si>
  <si>
    <t>Room Darkening</t>
  </si>
  <si>
    <t>4/2/2017</t>
  </si>
  <si>
    <t>1/30/2024</t>
  </si>
  <si>
    <t>AMAZON,AMAZONDS,AMERSIGNDS,ASHFURNDS,BBBDROP,BEALLSDS,BLK01,CSNSTORES,FINGERHUTDS,HDDS,HSNDS,JCPENNEY01,KIRKLANDDS,KOHLDSN,MACY02,OVERSTOCK01,TGTDVS</t>
  </si>
  <si>
    <t>Declined</t>
  </si>
  <si>
    <t>Temp Discontinued</t>
  </si>
  <si>
    <t>10/13/2016</t>
  </si>
  <si>
    <t>2/6/2017</t>
  </si>
  <si>
    <t>No</t>
  </si>
  <si>
    <t>WIN40-119</t>
  </si>
  <si>
    <t>50x95"</t>
  </si>
  <si>
    <t>2/25/2024</t>
  </si>
  <si>
    <t>AMAZON,AMAZONDS,AMERSIGNDS,ASHFURNDS,BBBDROP,BLK01,CSNSTORES,DESINC,FINGERHUTDS,HDDS,JCPENNEY01,KIRKLANDDS,KOHLDSN,MACY02,OVERSTOCK01,TGTDVS</t>
  </si>
  <si>
    <t>2/7/2017</t>
  </si>
  <si>
    <t>MP40-2683</t>
  </si>
  <si>
    <t>50x108"</t>
  </si>
  <si>
    <t>AMAZON,AMAZONDS,AMERSIGNDS,BBBDROP,BEALLSDS,BLK01,CSNSTORES,FINGERHUTDS,HDDS,JCPENNEY01,KIRKLANDDS,KOHLDSN,MACY02,NEBFUR01,OVERSTOCK01,TGTDVS</t>
  </si>
  <si>
    <t>1/30/2017</t>
  </si>
  <si>
    <t>MP40-3558</t>
  </si>
  <si>
    <t>50x120"</t>
  </si>
  <si>
    <t>A+</t>
  </si>
  <si>
    <t>AMAZON,AMAZONDS,AMERSIGNDS,BBBDROP,BLK01,CSNSTORES,HDDS,HSNDS,JCPENNEY01,KIRKLANDDS,KOHLDSN,MACY02,OVERSTOCK01,TGTDVS</t>
  </si>
  <si>
    <t>2/17/2017</t>
  </si>
  <si>
    <t>MP40-6367</t>
  </si>
  <si>
    <t>Twist Tab Total Blackout Window Curtain Panel</t>
  </si>
  <si>
    <t>50x95" Blackout</t>
  </si>
  <si>
    <t>B+</t>
  </si>
  <si>
    <t>Total Blackout</t>
  </si>
  <si>
    <t>6/26/2019</t>
  </si>
  <si>
    <t>3/4/2024</t>
  </si>
  <si>
    <t>AMAZON,AMAZONDS,AMERSIGNDS,ASHFURNDS,BBBDROP,BLK01,CSNSTORES,FINGERHUTDS,JCPENNEY01,KIRKLANDDS,KOHLDSN,MACY02,OVERSTOCK01,TGTDVS,WALMARTDS,Zulily</t>
  </si>
  <si>
    <t>8/15/2019</t>
  </si>
  <si>
    <t>9/2/2022</t>
  </si>
  <si>
    <t>WIN40-116</t>
  </si>
  <si>
    <t>Champagne</t>
  </si>
  <si>
    <t>PF003964</t>
  </si>
  <si>
    <t>2/3/2017</t>
  </si>
  <si>
    <t>WIN40-120</t>
  </si>
  <si>
    <t>AMAZON,BBBDROP,BEALLSDS,BLK01,CSNSTORES,FINGERHUTDS,HDDS,HSNDS,JCPENNEY01,KOHLDSN,MACY02,OVERSTOCK01,TGTDVS,WALMARTDS</t>
  </si>
  <si>
    <t>2/13/2017</t>
  </si>
  <si>
    <t>MP40-2684</t>
  </si>
  <si>
    <t>2/2/2024</t>
  </si>
  <si>
    <t>AMAZON,AMAZONDS,BBBDROP,BLK01,CSNSTORES,HDDS,HSNDS,JCPENNEY01,KIRKLANDDS,KOHLDSN,MACY02,OVERSTOCK01,TGTDVS,WALMARTDS</t>
  </si>
  <si>
    <t>MP40-3559</t>
  </si>
  <si>
    <t>AMAZON,AMERSIGNDS,BBBDROP,BLK01,CSNSTORES,HDDS,HSNDS,JCPENNEY01,KOHLDSN,MACY02,OVERSTOCK01,TGTDVS</t>
  </si>
  <si>
    <t>MP40-6368</t>
  </si>
  <si>
    <t>50x84" Blackout</t>
  </si>
  <si>
    <t>B</t>
  </si>
  <si>
    <t>AMAZON,AMAZONDS,ASHFURNDS,BBBDROP,BLK01,CSNSTORES,FINGERHUTDS,JCPENNEY01,KIRKLANDDS,KOHLDSN,MACY02,OVERSTOCK01,TGTDVS,WALMARTDS</t>
  </si>
  <si>
    <t>MP40-6369</t>
  </si>
  <si>
    <t>AMAZON,AMAZONDS,BLK01,CSNSTORES,JCPENNEY01,KOHLDSN,MACY02,OVERSTOCK01,TGTDVS</t>
  </si>
  <si>
    <t>9/1/2022</t>
  </si>
  <si>
    <t>MP40-1299</t>
  </si>
  <si>
    <t>Pewter</t>
  </si>
  <si>
    <t>PF003967</t>
  </si>
  <si>
    <t>3/13/2024</t>
  </si>
  <si>
    <t>AMAZON,ASHFURNDS,BBBDROP,BEALLSDS,BLK01,CSNSTORES,DESINC,FINGERHUTDS,HDDS,HSNDS,JCPENNEY01,KOHLDSN,MACY02,OVERSTOCK01,TGTDVS</t>
  </si>
  <si>
    <t>MP40-1300</t>
  </si>
  <si>
    <t>AMAZON,AMAZONDS,BBBDROP,BLK01,CSNSTORES,FINGERHUTDS,HDDS,HSNDS,JCPENNEY01,KOHLDSN,MACY02,OVERSTOCK01,TGTDVS</t>
  </si>
  <si>
    <t>MP40-2682</t>
  </si>
  <si>
    <t>AMAZON,BBBDROP,BLK01,CSNSTORES,HDDS,HSNDS,JCPENNEY01,KOHLDSN,MACY02,OVERSTOCK01,TGTDVS</t>
  </si>
  <si>
    <t>1/31/2017</t>
  </si>
  <si>
    <t>MP40-3557</t>
  </si>
  <si>
    <t>AMAZON,AMAZONDS,BBBDROP,BLK01,CSNSTORES,HDDS,HSNDS,JCPENNEY01,KOHLDSN,MACY02,OVERSTOCK01,TGTDVS</t>
  </si>
  <si>
    <t>MP40-7407</t>
  </si>
  <si>
    <t>PF003967;PP001164</t>
  </si>
  <si>
    <t>3/12/2021</t>
  </si>
  <si>
    <t>AMAZON,AMAZONDS,CSNSTORES,JCPENNEY01,KOHLDSN,MACY02,OVERSTOCK01,TGTDVS</t>
  </si>
  <si>
    <t>1/24/2023</t>
  </si>
  <si>
    <t>2/2/2023</t>
  </si>
  <si>
    <t>MP40-7408</t>
  </si>
  <si>
    <t>AMAZON,BLK01,CSNSTORES,JCPENNEY01,MACY02,OVERSTOCK01</t>
  </si>
  <si>
    <t>2/13/2023</t>
  </si>
  <si>
    <t>WIN40-118</t>
  </si>
  <si>
    <t>Bronze</t>
  </si>
  <si>
    <t>PF003966</t>
  </si>
  <si>
    <t>1/18/2024</t>
  </si>
  <si>
    <t>AMAZON,BBBDROP,BLK01,CSNSTORES,FINGERHUTDS,HDDS,HSNDS,JCPENNEY01,KIRKLANDDS,KOHLDSN,MACY02,OVERSTOCK01,TGTDVS</t>
  </si>
  <si>
    <t>2/19/2017</t>
  </si>
  <si>
    <t>WIN40-122</t>
  </si>
  <si>
    <t>AMAZON,AMAZONDS,ASHFURNDS,BBBDROP,BLK01,CSNSTORES,FINGERHUTDS,HDDS,HSNDS,JCPENNEY01,KOHLDSN,MACY02,OVERSTOCK01,TGTDVS,Zulily</t>
  </si>
  <si>
    <t>2/21/2017</t>
  </si>
  <si>
    <t>MP40-2686</t>
  </si>
  <si>
    <t>AMAZON,AMAZONDS,AMERSIGNDS,ASHFURNDS,BBBDROP,BLK01,CSNSTORES,FINGERHUTDS,HDDS,HSNDS,JCPENNEY01,KOHLDSN,MACY02,OVERSTOCK01,TGTDVS,WALMARTDS</t>
  </si>
  <si>
    <t>2/27/2017</t>
  </si>
  <si>
    <t>MP40-3561</t>
  </si>
  <si>
    <t>AMAZON,BBBDROP,BLK01,CSNSTORES,HDDS,JCPENNEY01,KOHLDSN,MACY02,OVERSTOCK01,TGTDVS</t>
  </si>
  <si>
    <t>3/7/2017</t>
  </si>
  <si>
    <t>MP40-7405</t>
  </si>
  <si>
    <t>PF003966;PP001164</t>
  </si>
  <si>
    <t>AMAZON,BLK01,CSNSTORES,JCPENNEY01,KOHLDSN,MACY02,OVERSTOCK01,TGTDVS</t>
  </si>
  <si>
    <t>2/16/2023</t>
  </si>
  <si>
    <t>MP40-7406</t>
  </si>
  <si>
    <t>AMAZON,ASHFURNDS,BBBDROP,CSNSTORES,JCPENNEY01,KOHLDSN,MACY02,OVERSTOCK01,TGTDVS</t>
  </si>
  <si>
    <t>1/31/2023</t>
  </si>
  <si>
    <t>MP40-6326</t>
  </si>
  <si>
    <t>Silver</t>
  </si>
  <si>
    <t>PP001164;PF004651</t>
  </si>
  <si>
    <t>5/9/2019</t>
  </si>
  <si>
    <t>1/19/2024</t>
  </si>
  <si>
    <t>AMAZON,BBBDROP,BLK01,CSNSTORES,FINGERHUTDS,HDDS,JCPENNEY01,KOHLDSN,MACY02,OVERSTOCK01</t>
  </si>
  <si>
    <t>2/14/2023</t>
  </si>
  <si>
    <t>MP40-6327</t>
  </si>
  <si>
    <t>AMAZON,BBBDROP,BLK01,CSNSTORES,FINGERHUTDS,HDDS,JCPENNEY01,KOHLDSN,MACY02,OVERSTOCK01,TGTDVS,WALMARTDS</t>
  </si>
  <si>
    <t>3/16/2023</t>
  </si>
  <si>
    <t>MP40-6328</t>
  </si>
  <si>
    <t>MP40-6329</t>
  </si>
  <si>
    <t>AMAZON,BBBDROP,CSNSTORES,JCPENNEY01,KOHLDSN,OVERSTOCK01,TGTDVS</t>
  </si>
  <si>
    <t>Setup</t>
  </si>
  <si>
    <t>8/2/2023</t>
  </si>
  <si>
    <t>MP40-2413</t>
  </si>
  <si>
    <t>Spice</t>
  </si>
  <si>
    <t>C</t>
  </si>
  <si>
    <t>PF003968</t>
  </si>
  <si>
    <t>AMAZON,AMAZONDS,ASHFURNDS,BBBDROP,BLK01,CSNSTORES,FINGERHUTDS,HDDS,HSNDS,JCPENNEY01,KIRKLANDDS,KOHLDSN,MACY02,OVERSTOCK01,TGTDVS</t>
  </si>
  <si>
    <t>2/1/2017</t>
  </si>
  <si>
    <t>MP40-2414</t>
  </si>
  <si>
    <t>B-</t>
  </si>
  <si>
    <t>AMAZON,ASHFURNDS,BBBDROP,BLK01,CSNSTORES,FINGERHUTDS,HDDS,JCPENNEY01,KOHLDSN,MACY02,OVERSTOCK01,TGTDVS</t>
  </si>
  <si>
    <t>3/6/2017</t>
  </si>
  <si>
    <t>MP40-2681</t>
  </si>
  <si>
    <t>2/20/2024</t>
  </si>
  <si>
    <t>AMAZON,AMAZONDS,BBBDROP,CSNSTORES,FINGERHUTDS,HDDS,JCPENNEY01,KOHLDSN,MACY02,OVERSTOCK01,TGTDVS</t>
  </si>
  <si>
    <t>MP40-3556</t>
  </si>
  <si>
    <t>AMAZON,AMAZONDS,BBBDROP,BLK01,HDDS,JCPENNEY01,KOHLDSN,MACY02,OVERSTOCK01</t>
  </si>
  <si>
    <t>2/22/2017</t>
  </si>
  <si>
    <t>MP40-2971</t>
  </si>
  <si>
    <t>Teal</t>
  </si>
  <si>
    <t>PF003969</t>
  </si>
  <si>
    <t>4/6/2017</t>
  </si>
  <si>
    <t>AMAZON,AMAZONDS,BBBDROP,BLK01,CSNSTORES,FINGERHUTDS,HDDS,JCPENNEY01,KIRKLANDDS,KOHLDSN,MACY02,OVERSTOCK01,TGTDVS</t>
  </si>
  <si>
    <t>2/15/2017</t>
  </si>
  <si>
    <t>MP40-2972</t>
  </si>
  <si>
    <t>AMAZON,ASHFURNDS,BBBDROP,BLK01,CSNSTORES,FINGERHUTDS,HDDS,JCPENNEY01,KIRKLANDDS,KOHLDSN,MACY02,OVERSTOCK01,TGTDVS</t>
  </si>
  <si>
    <t>2/24/2017</t>
  </si>
  <si>
    <t>MP40-2973</t>
  </si>
  <si>
    <t>AMAZON,BBBDROP,BLK01,CSNSTORES,FINGERHUTDS,HDDS,JCPENNEY01,KIRKLANDDS,KOHLDSN,MACY02,OVERSTOCK01,TGTDVS</t>
  </si>
  <si>
    <t>MP40-5272</t>
  </si>
  <si>
    <t>Close-out</t>
  </si>
  <si>
    <t>9/30/2017</t>
  </si>
  <si>
    <t>AMAZON,BBBDROP,BLK01,CSNSTORES,JCPENNEY01,KIRKLANDDS,MACY02,OVERSTOCK01,TGTDVS</t>
  </si>
  <si>
    <t>3/13/2018</t>
  </si>
  <si>
    <t>4/9/2018</t>
  </si>
  <si>
    <t>MP40-6556</t>
  </si>
  <si>
    <t>Charcoal</t>
  </si>
  <si>
    <t>PP001164;PF004762</t>
  </si>
  <si>
    <t>7/27/2019</t>
  </si>
  <si>
    <t>1/10/2024</t>
  </si>
  <si>
    <t>AMAZON,AMAZONDS,ASHFURNDS,BBBDROP,BLK01,CSNSTORES,FINGERHUTDS,HDDS,JCPENNEY01,KOHLDSN,MACY02,OVERSTOCK01,TGTDVS,WALMARTDS</t>
  </si>
  <si>
    <t>MP40-6557</t>
  </si>
  <si>
    <t>3/7/2024</t>
  </si>
  <si>
    <t>AMAZON,AMAZONDS,ASHFURNDS,BBBDROP,BLK01,CSNSTORES,FINGERHUTDS,HDDS,JCPENNEY01,KOHLDSN,MACY02,OVERSTOCK01,TGTDVS</t>
  </si>
  <si>
    <t>MP40-6558</t>
  </si>
  <si>
    <t>AMAZON,AMAZONDS,BBBDROP,CSNSTORES,HDDS,JCPENNEY01,KOHLDSN,MACY02,OVERSTOCK01,TGTDVS</t>
  </si>
  <si>
    <t>2/21/2023</t>
  </si>
  <si>
    <t>MP40-6559</t>
  </si>
  <si>
    <t>2/9/2023</t>
  </si>
  <si>
    <t>WIN40-117</t>
  </si>
  <si>
    <t>Dusty Aqua</t>
  </si>
  <si>
    <t>PF003965</t>
  </si>
  <si>
    <t>WIN40-121</t>
  </si>
  <si>
    <t>3/2/2024</t>
  </si>
  <si>
    <t>AMAZON,AMAZONDS,ASHFURNDS,BBBDROP,CSNSTORES,FINGERHUTDS,HDDS,JCPENNEY01,KOHLDSN,MACY02,OVERSTOCK01,TGTDVS</t>
  </si>
  <si>
    <t>2/28/2017</t>
  </si>
  <si>
    <t>MP40-2685</t>
  </si>
  <si>
    <t>4/5/2017</t>
  </si>
  <si>
    <t>AMAZON,AMAZONDS,BBBDROP,BLK01,CSNSTORES,FINGERHUTDS,HDDS,HSNDS,JCPENNEY01,KIRKLANDDS,KOHLDSN,MACY02,OVERSTOCK01</t>
  </si>
  <si>
    <t>2/8/2017</t>
  </si>
  <si>
    <t>MP40-3560</t>
  </si>
  <si>
    <t>5/15/2024</t>
  </si>
  <si>
    <t>AMAZON,BBBDROP,CSNSTORES,HDDS,JCPENNEY01,KOHLDSN,MACY02,OVERSTOCK01,WALMARTDS</t>
  </si>
  <si>
    <t>2/16/2017</t>
  </si>
  <si>
    <t>MP40-3552</t>
  </si>
  <si>
    <t>Purple</t>
  </si>
  <si>
    <t>PF003970</t>
  </si>
  <si>
    <t>3/8/2024</t>
  </si>
  <si>
    <t>AMAZON,ASHFURNDS,BBBDROP,BLK01,CSNSTORES,FINGERHUTDS,HDDS,JCPENNEY01,KOHLDSN,MACY02,OVERSTOCK01,TGTDVS,WALMARTDS</t>
  </si>
  <si>
    <t>3/27/2017</t>
  </si>
  <si>
    <t>MP40-3553</t>
  </si>
  <si>
    <t>AMAZON,AMAZONDS,BBBDROP,BLK01,CSNSTORES,FINGERHUTDS,HDDS,JCPENNEY01,KOHLDSN,MACY02,OVERSTOCK01,TGTDVS</t>
  </si>
  <si>
    <t>MP40-3554</t>
  </si>
  <si>
    <t>AMAZON,BBBDROP,BLK01,CSNSTORES,FINGERHUTDS,HDDS,JCPENNEY01,KOHLDSN,MACY02,OVERSTOCK01,TGTDVS</t>
  </si>
  <si>
    <t>3/2/2017</t>
  </si>
  <si>
    <t>MP40-3555</t>
  </si>
  <si>
    <t>AMAZON,AMAZONDS,BBBDROP,CSNSTORES,JCPENNEY01,KOHLDSN,MACY02,OVERSTOCK01,TGTDVS</t>
  </si>
  <si>
    <t>3/14/2017</t>
  </si>
  <si>
    <t>MP40-6321</t>
  </si>
  <si>
    <t>Blush</t>
  </si>
  <si>
    <t>PP001164;PF004652</t>
  </si>
  <si>
    <t>AMAZON,ASHFURNDS,BBBDROP,BLK01,CSNSTORES,DESINC,FINGERHUTDS,HDDS,JCPENNEY01,KOHLDSN,MACY02,OVERSTOCK01,WALMARTDS</t>
  </si>
  <si>
    <t>1/30/2023</t>
  </si>
  <si>
    <t>MP40-6322</t>
  </si>
  <si>
    <t>MP40-6323</t>
  </si>
  <si>
    <t>AMAZON,BBBDROP,BLK01,CSNSTORES,FINGERHUTDS,JCPENNEY01,KOHLDSN,MACY02,OVERSTOCK01,TGTDVS</t>
  </si>
  <si>
    <t>3/1/2023</t>
  </si>
  <si>
    <t>MP40-6316</t>
  </si>
  <si>
    <t>Navy</t>
  </si>
  <si>
    <t>PP001164;PF004653</t>
  </si>
  <si>
    <t>AMAZON,ASHFURNDS,BBBDROP,BLK01,CSNSTORES,FINGERHUTDS,HDDS,JCPENNEY01,KOHLDSN,MACY02,OVERSTOCK01,Zulily</t>
  </si>
  <si>
    <t>2/22/2023</t>
  </si>
  <si>
    <t>MP40-6317</t>
  </si>
  <si>
    <t>2/15/2023</t>
  </si>
  <si>
    <t>MP40-6318</t>
  </si>
  <si>
    <t>AMAZON,BBBDROP,BLK01,CSNSTORES,FINGERHUTDS,HDDS,JCPENNEY01,KOHLDSN,OVERSTOCK01,TGTDVS,WALMARTDS</t>
  </si>
  <si>
    <t>8/31/2023</t>
  </si>
  <si>
    <t>MP40-6319</t>
  </si>
  <si>
    <t>3/20/2024</t>
  </si>
  <si>
    <t>AMAZON,AMAZONDS,BBBDROP,CSNSTORES,HDDS,JCPENNEY01,KOHLDSN,MACY02,OVERSTOCK01</t>
  </si>
  <si>
    <t>MP40-8329</t>
  </si>
  <si>
    <t>Black</t>
  </si>
  <si>
    <t>TBD</t>
  </si>
  <si>
    <t>PP001164;PF006098</t>
  </si>
  <si>
    <t>11/15/2023</t>
  </si>
  <si>
    <t>Restricted</t>
  </si>
  <si>
    <t>MP40-8330</t>
  </si>
  <si>
    <t>MP40-8331</t>
  </si>
  <si>
    <t>MP40-8332</t>
  </si>
  <si>
    <t>MP40-8335</t>
  </si>
  <si>
    <t>MP40-8336</t>
  </si>
  <si>
    <t>MP40-8333</t>
  </si>
  <si>
    <t>Green</t>
  </si>
  <si>
    <t>PP001164;PF006099</t>
  </si>
  <si>
    <t>MP40-8334</t>
  </si>
  <si>
    <t>MP40-1572</t>
  </si>
  <si>
    <t>Saratoga</t>
  </si>
  <si>
    <t>Westmont</t>
  </si>
  <si>
    <t>Sereno</t>
  </si>
  <si>
    <t>Fretwork Print Grommet Top Window Curtain Panel</t>
  </si>
  <si>
    <t>50x63"</t>
  </si>
  <si>
    <t>Yellow/White</t>
  </si>
  <si>
    <t>PF003999;PP000501</t>
  </si>
  <si>
    <t>Print</t>
  </si>
  <si>
    <t>Modern/Contemporary</t>
  </si>
  <si>
    <t>AMAZON,AMERSIGNDS,ASHFURNDS,BBBDROP,BIGLOTSDS,BLK01,CSNSTORES,FINGERHUTDS,JCPENNEY01,KOHLDSN,MACY02,OVERSTOCK01,TGTDVS,WALMARTDS</t>
  </si>
  <si>
    <t>5/1/2018</t>
  </si>
  <si>
    <t>MP40-1574</t>
  </si>
  <si>
    <t>AMAZON,BBBDROP,BIGLOTSDS,BLK01,CSNSTORES,FINGERHUTDS,JCPENNEY01,KOHLDSN,MACY02,OVERSTOCK01,TGTDVS</t>
  </si>
  <si>
    <t>4/16/2018</t>
  </si>
  <si>
    <t>MP40-1576</t>
  </si>
  <si>
    <t>AMAZON,AMAZONDS,BBBDROP,BIGLOTSDS,BLK01,CSNSTORES,FINGERHUTDS,JCPENNEY01,KOHLDSN,MACY02,OVERSTOCK01,TGTDVS</t>
  </si>
  <si>
    <t>MP40-2023</t>
  </si>
  <si>
    <t>AMAZON,BBBDROP,CSNSTORES,FINGERHUTDS,JCPENNEY01,KOHLDSN,OVERSTOCK01,TGTDVS</t>
  </si>
  <si>
    <t>4/18/2018</t>
  </si>
  <si>
    <t>MP40-2028</t>
  </si>
  <si>
    <t>Fretwork Print Patio Window Curtain</t>
  </si>
  <si>
    <t>100x84"</t>
  </si>
  <si>
    <t>Beige/Spice</t>
  </si>
  <si>
    <t>PF004000;PP000501</t>
  </si>
  <si>
    <t>AMAZON,BBBDROP,CSNSTORES,JCPENNEY01,KOHLDSN,MACY02,OVERSTOCK01,TGTDVS</t>
  </si>
  <si>
    <t>Discontinued</t>
  </si>
  <si>
    <t>6/5/2018</t>
  </si>
  <si>
    <t>Yes</t>
  </si>
  <si>
    <t>MP40-1755</t>
  </si>
  <si>
    <t>AMAZON,AMAZONDS,ASHFURNDS,BBBDROP,BIGLOTSDS,BLK01,CSNSTORES,JCPENNEY01,KOHLDSN,MACY02,OVERSTOCK01,TGTDVS</t>
  </si>
  <si>
    <t>5/7/2018</t>
  </si>
  <si>
    <t>MP40-1756</t>
  </si>
  <si>
    <t>AMAZON,AMAZONDS,BBBDROP,BIGLOTSDS,BLK01,FINGERHUTDS,JCPENNEY01,KOHLDSN,MACY02,OVERSTOCK01,TGTDVS,WALMARTDS</t>
  </si>
  <si>
    <t>4/6/2018</t>
  </si>
  <si>
    <t>MP40-1757</t>
  </si>
  <si>
    <t>AMAZON,ASHFURNDS,BBBDROP,BLK01,CSNSTORES,JCPENNEY01,KOHLDSN,MACY02,OVERSTOCK01,TGTDVS</t>
  </si>
  <si>
    <t>6/4/2018</t>
  </si>
  <si>
    <t>MP40-2029</t>
  </si>
  <si>
    <t>4/4/2018</t>
  </si>
  <si>
    <t>MP40-3602</t>
  </si>
  <si>
    <t>Beige/Gold</t>
  </si>
  <si>
    <t>Donation</t>
  </si>
  <si>
    <t>PF004004;PP000501</t>
  </si>
  <si>
    <t>5/8/2018</t>
  </si>
  <si>
    <t>MP40-3597</t>
  </si>
  <si>
    <t>Light Filtering</t>
  </si>
  <si>
    <t>2/26/2024</t>
  </si>
  <si>
    <t>AMAZON,BBBDROP,BIGLOTSDS,BLK01,CSNSTORES,JCPENNEY01,KOHLDSN,MACY02,OVERSTOCK01,TGTDVS</t>
  </si>
  <si>
    <t>MP40-3598</t>
  </si>
  <si>
    <t>1/16/2024</t>
  </si>
  <si>
    <t>AMAZON,AMAZONDS,BBBDROP,BIGLOTSDS,BLK01,CSNSTORES,JCPENNEY01,KOHLDSN,MACY02,OVERSTOCK01,TGTDVS,WALMARTDS</t>
  </si>
  <si>
    <t>5/10/2018</t>
  </si>
  <si>
    <t>MP40-3599</t>
  </si>
  <si>
    <t>4/8/2017</t>
  </si>
  <si>
    <t>4/2/2018</t>
  </si>
  <si>
    <t>MP40-3600</t>
  </si>
  <si>
    <t>AMAZON,AMERSIGNDS,BBBDROP,BLK01,CSNSTORES,JCPENNEY01,KOHLDSN,MACY02,OVERSTOCK01,TGTDVS</t>
  </si>
  <si>
    <t>6/25/2018</t>
  </si>
  <si>
    <t>MP40-2401</t>
  </si>
  <si>
    <t>Seafoam/White</t>
  </si>
  <si>
    <t>PF004002;PP000501</t>
  </si>
  <si>
    <t>4/24/2024</t>
  </si>
  <si>
    <t>AMAZON,BBBDROP,BIGLOTSDS,CSNSTORES,JCPENNEY01,KOHLDSN,MACY02,OVERSTOCK01,TGTDVS</t>
  </si>
  <si>
    <t>5/4/2018</t>
  </si>
  <si>
    <t>MP40-2402</t>
  </si>
  <si>
    <t>AMAZON,BBBDROP,BIGLOTSDS,BLK01,CSNSTORES,JCPENNEY01,KOHLDSN,MACY02,OVERSTOCK01,TGTDVS,WALMARTDS</t>
  </si>
  <si>
    <t>4/24/2018</t>
  </si>
  <si>
    <t>MP40-2403</t>
  </si>
  <si>
    <t>AMAZON,AMAZONDS,BBBDROP,BLK01,CSNSTORES,JCPENNEY01,KOHLDSN,MACY02,OVERSTOCK01,TGTDVS</t>
  </si>
  <si>
    <t>7/9/2018</t>
  </si>
  <si>
    <t>MP40-2404</t>
  </si>
  <si>
    <t>AMAZON,AMAZONDS,BBBDROP,CSNSTORES,JCPENNEY01,KOHLDSN,MACY02,OVERSTOCK01,TGTDVS,WALMARTDS</t>
  </si>
  <si>
    <t>MP40-2400</t>
  </si>
  <si>
    <t>Ivory</t>
  </si>
  <si>
    <t>PF004001;PP000501</t>
  </si>
  <si>
    <t>AMAZON,BBBDROP,BLK01,CSNSTORES,HSNDS,JCPENNEY01,KOHLDSN,MACY02,OVERSTOCK01,TGTDVS,WALMARTDS</t>
  </si>
  <si>
    <t>MP40-2406</t>
  </si>
  <si>
    <t>Seafoam</t>
  </si>
  <si>
    <t>AMAZON,AMAZONDS,ASHFURNDS,BBBDROP,BIGLOTSDS,BLK01,CSNSTORES,JCPENNEY01,KOHLDSN,MACY02,OVERSTOCK01,TGTDVS,WALMARTDS</t>
  </si>
  <si>
    <t>MP40-2395</t>
  </si>
  <si>
    <t>Ivory/Grey</t>
  </si>
  <si>
    <t>4/27/2017</t>
  </si>
  <si>
    <t>AMAZON,AMAZONDS,BBBDROP,BEALLSDS,CSNSTORES,JCPENNEY01,KOHLDSN,MACY02,NEBFUR01,OVERSTOCK01,TGTDVS,WALMARTDS</t>
  </si>
  <si>
    <t>5/3/2018</t>
  </si>
  <si>
    <t>MP40-2396</t>
  </si>
  <si>
    <t>AMAZON,AMAZONDS,AMERSIGNDS,BBBDROP,BIGLOTSDS,BLK01,CSNSTORES,HSNDS,JCPENNEY01,KOHLDSN,MACY02,OVERSTOCK01,TGTDVS,WALMARTDS</t>
  </si>
  <si>
    <t>MP40-2397</t>
  </si>
  <si>
    <t>AMAZON,ASHFURNDS,BBBDROP,CSNSTORES,JCPENNEY01,KOHLDSN,MACY02,NEBFUR01,OVERSTOCK01,TGTDVS,WALMARTDS</t>
  </si>
  <si>
    <t>8/6/2018</t>
  </si>
  <si>
    <t>MP40-2398</t>
  </si>
  <si>
    <t>AMAZON,BBBDROP,BLK01,CSNSTORES,JCPENNEY01,KOHLDSN,MACY02,OVERSTOCK01,TGTDVS,WALMARTDS</t>
  </si>
  <si>
    <t>MP40-1571</t>
  </si>
  <si>
    <t>Blue/White</t>
  </si>
  <si>
    <t>PF003998;PP000501</t>
  </si>
  <si>
    <t>BBBDROP,BIGLOTSDS,BLK01,CSNSTORES,FINGERHUTDS,JCPENNEY01,KOHLDSN,MACY02,OVERSTOCK01,TGTDVS,WALMARTDS</t>
  </si>
  <si>
    <t>6/1/2018</t>
  </si>
  <si>
    <t>MP40-1573</t>
  </si>
  <si>
    <t>AMAZON,AMAZONDS,BBBDROP,BIGLOTSDS,CSNSTORES,FINGERHUTDS,HSNDS,JCPENNEY01,KOHLDSN,MACY02,OVERSTOCK01,TGTDVS,WALMARTDS</t>
  </si>
  <si>
    <t>MP40-1575</t>
  </si>
  <si>
    <t>AMAZON,AMAZONDS,BBBDROP,BIGLOTSDS,BLK01,CSNSTORES,FINGERHUTDS,HSNDS,JCPENNEY01,KOHLDSN,MACY02,OVERSTOCK01,TGTDVS</t>
  </si>
  <si>
    <t>5/14/2018</t>
  </si>
  <si>
    <t>MP40-2026</t>
  </si>
  <si>
    <t>AMAZON,BBBDROP,CSNSTORES,FINGERHUTDS,JCPENNEY01,KOHLDSN,MACY02,OVERSTOCK01,TGTDVS</t>
  </si>
  <si>
    <t>MP40-2412</t>
  </si>
  <si>
    <t>Khaki</t>
  </si>
  <si>
    <t>PF004003;PP000501</t>
  </si>
  <si>
    <t>5/20/2017</t>
  </si>
  <si>
    <t>MP40-2407</t>
  </si>
  <si>
    <t>Khaki/Black</t>
  </si>
  <si>
    <t>AMAZON,AMAZONDS,BBBDROP,BIGLOTSDS,CSNSTORES,JCPENNEY01,KOHLDSN,MACY02,TGTDVS</t>
  </si>
  <si>
    <t>MP40-2408</t>
  </si>
  <si>
    <t>AMAZON,AMAZONDS,BBBDROP,BIGLOTSDS,CSNSTORES,JCPENNEY01,KOHLDSN,MACY02,OVERSTOCK01,TGTDVS,WALMARTDS</t>
  </si>
  <si>
    <t>MP40-2409</t>
  </si>
  <si>
    <t>AMAZON,AMAZONDS,BBBDROP,BIGLOTSDS,CSNSTORES,DESINC,JCPENNEY01,KOHLDSN,MACY02,OVERSTOCK01,TGTDVS</t>
  </si>
  <si>
    <t>MP40-2410</t>
  </si>
  <si>
    <t>AMAZON,AMAZONDS,ASHFURNDS,BBBDROP,CSNSTORES,JCPENNEY01,MACY02,OVERSTOCK01,TGTDVS</t>
  </si>
  <si>
    <t>4/30/2018</t>
  </si>
  <si>
    <t>MP40-1280</t>
  </si>
  <si>
    <t>Grey/White</t>
  </si>
  <si>
    <t>PF003997;PP000501</t>
  </si>
  <si>
    <t>AMAZON,BBBDROP,BIGLOTSDS,BLK01,CSNSTORES,DESINC,FINGERHUTDS,JCPENNEY01,KOHLDSN,MACY02,OVERSTOCK01,TGTDVS,WALMARTDS</t>
  </si>
  <si>
    <t>MP40-1282</t>
  </si>
  <si>
    <t>AMAZON,ASHFURNDS,BBBDROP,BIGLOTSDS,BLK01,CSNSTORES,FINGERHUTDS,HSNDS,JCPENNEY01,KOHLDSN,MACY02,OVERSTOCK01,TGTDVS,WALMARTDS</t>
  </si>
  <si>
    <t>5/21/2018</t>
  </si>
  <si>
    <t>MP40-1284</t>
  </si>
  <si>
    <t>AMAZON,AMAZONDS,BBBDROP,BIGLOTSDS,CSNSTORES,FINGERHUTDS,JCPENNEY01,KOHLDSN,MACY02,OVERSTOCK01,TGTDVS,WALMARTDS</t>
  </si>
  <si>
    <t>5/30/2018</t>
  </si>
  <si>
    <t>MP40-2022</t>
  </si>
  <si>
    <t>Yellow</t>
  </si>
  <si>
    <t>AMAZON,ASHFURNDS,BBBDROP,BLK01,CSNSTORES,FINGERHUTDS,JCPENNEY01,KOHLDSN,MACY02,OVERSTOCK01,TGTDVS,WALMARTDS</t>
  </si>
  <si>
    <t>MP40-2011</t>
  </si>
  <si>
    <t>Grey</t>
  </si>
  <si>
    <t>MP40-2012</t>
  </si>
  <si>
    <t>Beige</t>
  </si>
  <si>
    <t>PF003996;PP000501</t>
  </si>
  <si>
    <t>AMAZON,AMAZONDS,ASHFURNDS,BBBDROP,CSNSTORES,FINGERHUTDS,HSNDS,JCPENNEY01,KOHLDSN,MACY02,OVERSTOCK01,TGTDVS</t>
  </si>
  <si>
    <t>MP40-2025</t>
  </si>
  <si>
    <t>Blue</t>
  </si>
  <si>
    <t>C+</t>
  </si>
  <si>
    <t>AMAZON,BBBDROP,BIGLOTSDS,CSNSTORES,FINGERHUTDS,JCPENNEY01,KOHLDSN,MACY02,OVERSTOCK01,TGTDVS</t>
  </si>
  <si>
    <t>MP40-1279</t>
  </si>
  <si>
    <t>Beige/Grey</t>
  </si>
  <si>
    <t>AMAZON,AMAZONDS,BBBDROP,BIGLOTSDS,CSNSTORES,FINGERHUTDS,JCPENNEY01,KOHLDSN,MACY02,OVERSTOCK01,WALMARTDS</t>
  </si>
  <si>
    <t>5/29/2018</t>
  </si>
  <si>
    <t>MP40-1281</t>
  </si>
  <si>
    <t>AMAZON,AMAZONDS,ASHFURNDS,BBBDROP,BIGLOTSDS,BLK01,CSNSTORES,FINGERHUTDS,HSNDS,JCPENNEY01,KOHLDSN,MACY02,OVERSTOCK01,TGTDVS</t>
  </si>
  <si>
    <t>MP40-1283</t>
  </si>
  <si>
    <t>AMAZON,AMAZONDS,BBBDROP,BIGLOTSDS,BLK01,CSNSTORES,FINGERHUTDS,HSNDS,JCPENNEY01,KOHLDSN,MACY02,OVERSTOCK01,TGTDVS,WALMARTDS</t>
  </si>
  <si>
    <t>4/11/2018</t>
  </si>
  <si>
    <t>MP40-1295</t>
  </si>
  <si>
    <t>Andora</t>
  </si>
  <si>
    <t>Eliza</t>
  </si>
  <si>
    <t>Aden</t>
  </si>
  <si>
    <t>Curtain Panel</t>
  </si>
  <si>
    <t>PF003823</t>
  </si>
  <si>
    <t>Botanical</t>
  </si>
  <si>
    <t>AMAZON,BBBDROP,BEALLSDS,BLK01,CSNSTORES,HDDS,JCPENNEY01,KOHLDSN,MACY02,OVERSTOCK01,TGTDVS,WALMARTDS</t>
  </si>
  <si>
    <t>MP40-1297</t>
  </si>
  <si>
    <t>AMAZON,AMAZONDS,ASHFURNDS,BBBDROP,BEALLSDS,BLK01,CSNSTORES,HDDS,JCPENNEY01,KOHLDSN,MACY02,OVERSTOCK01,TGTDVS</t>
  </si>
  <si>
    <t>3/1/2017</t>
  </si>
  <si>
    <t>WIN40-100</t>
  </si>
  <si>
    <t>PF003816</t>
  </si>
  <si>
    <t>2/8/2024</t>
  </si>
  <si>
    <t>AMAZON,AMAZONDS,BBBDROP,BLK01,CSNSTORES,DESINC,HDDS,HSNDS,JCPENNEY01,KOHLDSN,MACY02,OVERSTOCK01,TGTDVS,WALMARTDS</t>
  </si>
  <si>
    <t>MP40-718</t>
  </si>
  <si>
    <t>AMAZON,AMAZONDS,BBBDROP,BLK01,CSNSTORES,HDDS,HSNDS,JCPENNEY01,KOHLDSN,MACY02,OVERSTOCK01,TGTDVS,WALMARTDS</t>
  </si>
  <si>
    <t>MP40-1781</t>
  </si>
  <si>
    <t>PF003840</t>
  </si>
  <si>
    <t>AMAZON,AMAZONDS,ASHFURNDS,BBBDROP,BLK01,CSNSTORES,HDDS,JCPENNEY01,KOHLDSN,MACY02,OVERSTOCK01,TGTDVS,WALMARTDS</t>
  </si>
  <si>
    <t>MP40-1782</t>
  </si>
  <si>
    <t>AMAZON,AMAZONDS,ASHFURNDS,BBBDROP,BLK01,CSNSTORES,HDDS,JCPENNEY01,KOHLDSN,MACY02,OVERSTOCK01</t>
  </si>
  <si>
    <t>MP40-1296</t>
  </si>
  <si>
    <t>PF003962</t>
  </si>
  <si>
    <t>AMAZON,AMAZONDS,AMERSIGNDS,BBBDROP,BLK01,CSNSTORES,HDDS,JCPENNEY01,KOHLDSN,MACY02,OVERSTOCK01,TGTDVS,WALMARTDS</t>
  </si>
  <si>
    <t>MP40-1298</t>
  </si>
  <si>
    <t>AMAZON,ASHFURNDS,BBBDROP,BLK01,CSNSTORES,HDDS,JCPENNEY01,KOHLDSN,MACY02,TGTDVS</t>
  </si>
  <si>
    <t>WIN40-098</t>
  </si>
  <si>
    <t>Tan</t>
  </si>
  <si>
    <t>PF003798</t>
  </si>
  <si>
    <t>AMAZON,AMAZONDS,BBBDROP,BEALLSDS,BLK01,CSNSTORES,HDDS,JCPENNEY01,KOHLDSN,MACY02,OVERSTOCK01,TGTDVS,WALMARTDS</t>
  </si>
  <si>
    <t>MP40-716</t>
  </si>
  <si>
    <t>AMAZON,AMAZONDS,ASHFURNDS,BBBDROP,BLK01,CSNSTORES,HDDS,HSNDS,JCPENNEY01,KOHLDSN,MACY02,OVERSTOCK01,TGTDVS,WALMARTDS</t>
  </si>
  <si>
    <t>WIN40-099</t>
  </si>
  <si>
    <t>Chocolate</t>
  </si>
  <si>
    <t>PF003806</t>
  </si>
  <si>
    <t>AMAZON,AMAZONDS,BBBDROP,BLK01,CSNSTORES,HDDS,JCPENNEY01,KOHLDSN,MACY02,OVERSTOCK01,TGTDVS,WALMARTDS</t>
  </si>
  <si>
    <t>MP40-717</t>
  </si>
  <si>
    <t>AMAZON,ASHFURNDS,BBBDROP,BLK01,CSNSTORES,HDDS,JCPENNEY01,KOHLDSN,MACY02,TGTDVS,WALMARTDS</t>
  </si>
  <si>
    <t>MP40-2224</t>
  </si>
  <si>
    <t>Amherst</t>
  </si>
  <si>
    <t>Eastridge</t>
  </si>
  <si>
    <t>Salem</t>
  </si>
  <si>
    <t>Polyoni Pintuck Curtain Panel</t>
  </si>
  <si>
    <t>Red</t>
  </si>
  <si>
    <t>PF001362;PP000524</t>
  </si>
  <si>
    <t>Pieced</t>
  </si>
  <si>
    <t>AMAZON,ASHFURNDS,BBBDROP,BIGLOTSDS,BLK01,CSNSTORES,DESINC,FINGERHUTDS,JCPENNEY01,KOHLDSN,MACY02,OVERSTOCK01,TGTDVS</t>
  </si>
  <si>
    <t>5/24/2018</t>
  </si>
  <si>
    <t>11/10/2022</t>
  </si>
  <si>
    <t>MP40-2225</t>
  </si>
  <si>
    <t>PF002414;PP000373</t>
  </si>
  <si>
    <t>AMAZON,AMAZONDS,ASHFURNDS,BBBDROP,BIGLOTSDS,BLK01,CSNSTORES,DESINC,FINGERHUTDS,JCPENNEY01,KOHLDSN,MACY02,OVERSTOCK01,TGTDVS,WALMARTDS</t>
  </si>
  <si>
    <t>MP40-4372</t>
  </si>
  <si>
    <t>Coral</t>
  </si>
  <si>
    <t>PF002415</t>
  </si>
  <si>
    <t>7/4/2017</t>
  </si>
  <si>
    <t>AMAZON,AMAZONDS,ASHFURNDS,BBBDROP,BEALLSDS,BIGLOTSDS,BLK01,CSNSTORES,FINGERHUTDS,JCPENNEY01,KOHLDSN,MACY02,OVERSTOCK01,TGTDVS,WALMARTDS</t>
  </si>
  <si>
    <t>11/30/2022</t>
  </si>
  <si>
    <t>MP40-4371</t>
  </si>
  <si>
    <t>PF002416</t>
  </si>
  <si>
    <t>6/3/2017</t>
  </si>
  <si>
    <t>AMAZON,AMAZONDS,ASHFURNDS,BBBDROP,BIGLOTSDS,BLK01,CSNSTORES,FINGERHUTDS,JCPENNEY01,KOHLDSN,MACY02,OVERSTOCK01,TGTDVS,WALMARTDS</t>
  </si>
  <si>
    <t>11/18/2022</t>
  </si>
  <si>
    <t>MP40-2222</t>
  </si>
  <si>
    <t>PP000373;PF005901</t>
  </si>
  <si>
    <t>AMAZON,AMAZONDS,ASHFURNDS,BBBDROP,BIGLOTSDS,BLK01,CSNSTORES,FINGERHUTDS,HSNDS,JCPENNEY01,KOHLDSN,MACY02,OVERSTOCK01,TGTDVS,WALMARTDS</t>
  </si>
  <si>
    <t>MP40-2223</t>
  </si>
  <si>
    <t>PF001363;PP000524</t>
  </si>
  <si>
    <t>AMAZON,BBBDROP,BEALLSDS,BIGLOTSDS,BLK01,CSNSTORES,FINGERHUTDS,JCPENNEY01,KOHLDSN,MACY02,OVERSTOCK01,TGTDVS</t>
  </si>
  <si>
    <t>11/17/2022</t>
  </si>
  <si>
    <t>MP40-2220</t>
  </si>
  <si>
    <t>PF002411;PP000373</t>
  </si>
  <si>
    <t>AMAZON,AMAZONDS,ASHFURNDS,BBBDROP,BIGLOTSDS,BLK01,CSNSTORES,DESINC,JCPENNEY01,KOHLDSN,MACY02,OVERSTOCK01,TGTDVS,WALMARTDS</t>
  </si>
  <si>
    <t>MP40-4374</t>
  </si>
  <si>
    <t>Aqua</t>
  </si>
  <si>
    <t>PF002417</t>
  </si>
  <si>
    <t>MP40-4373</t>
  </si>
  <si>
    <t>PF002411</t>
  </si>
  <si>
    <t>AMAZON,AMAZONDS,ASHFURNDS,BBBDROP,BIGLOTSDS,BLK01,CSNSTORES,FINGERHUTDS,JCPENNEY01,KIRKLANDDS,KOHLDSN,MACY02,OVERSTOCK01,TGTDVS,WALMARTDS</t>
  </si>
  <si>
    <t>MP40-2221</t>
  </si>
  <si>
    <t>Natural</t>
  </si>
  <si>
    <t>PF002412;PP000373</t>
  </si>
  <si>
    <t>AMAZON,AMAZONDS,ASHFURNDS,BBBDROP,BEALLSDS,BLK01,CSNSTORES,FINGERHUTDS,JCPENNEY01,KOHLDSN,MACY02,OVERSTOCK01,TGTDVS,WALMARTDS</t>
  </si>
  <si>
    <t>3/28/2023</t>
  </si>
  <si>
    <t>MP40-6745</t>
  </si>
  <si>
    <t>Englewood</t>
  </si>
  <si>
    <t>Oslow</t>
  </si>
  <si>
    <t>Lincoln</t>
  </si>
  <si>
    <t>Solid Piece Dyed Grommet Top Curtain Panel</t>
  </si>
  <si>
    <t>PP001398;PF004936</t>
  </si>
  <si>
    <t>Casual</t>
  </si>
  <si>
    <t>10/15/2019</t>
  </si>
  <si>
    <t>BBBDROP,BLK01,CSNSTORES,DESINC,JCPENNEY01,KOHLDSN,MACY02,TGTDVS,WALMARTDS</t>
  </si>
  <si>
    <t>12/22/2019</t>
  </si>
  <si>
    <t>5/12/2020</t>
  </si>
  <si>
    <t>MP40-6746</t>
  </si>
  <si>
    <t>Solid Piece Dyed Grommet Top Window Panel</t>
  </si>
  <si>
    <t>BBBDROP,CSNSTORES,JCPENNEY01,KOHLDSN,MACY02,OVERSTOCK01,TGTDVS</t>
  </si>
  <si>
    <t>5/13/2020</t>
  </si>
  <si>
    <t>MP40-6750</t>
  </si>
  <si>
    <t>PP001398;PF004938</t>
  </si>
  <si>
    <t>BBBDROP,CSNSTORES,DESINC,JCPENNEY01,KOHLDSN,MACY02,TGTDVS,WALMARTDS</t>
  </si>
  <si>
    <t>4/1/2020</t>
  </si>
  <si>
    <t>MP40-6751</t>
  </si>
  <si>
    <t>AMAZONDS,BBBDROP,BLK01,CSNSTORES,JCPENNEY01,KOHLDSN,MACY02,OVERSTOCK01,TGTDVS</t>
  </si>
  <si>
    <t>3/16/2020</t>
  </si>
  <si>
    <t>MP40-6747</t>
  </si>
  <si>
    <t>PP001398;PF004937</t>
  </si>
  <si>
    <t>BBBDROP,JCPENNEY01,KOHLDSN,MACY02,OVERSTOCK01,TGTDVS</t>
  </si>
  <si>
    <t>3/31/2020</t>
  </si>
  <si>
    <t>MP40-6748</t>
  </si>
  <si>
    <t>BBBDROP,CSNSTORES,KOHLDSN,MACY02,OVERSTOCK01,TGTDVS</t>
  </si>
  <si>
    <t>3/30/2020</t>
  </si>
  <si>
    <t>MP40-6749</t>
  </si>
  <si>
    <t>ASHFURNDS,BBBDROP,CSNSTORES,JCPENNEY01,KOHLDSN,MACY02,TGTDVS</t>
  </si>
  <si>
    <t>5/26/2020</t>
  </si>
  <si>
    <t>MP40-7495</t>
  </si>
  <si>
    <t>Beals</t>
  </si>
  <si>
    <t>Barnet</t>
  </si>
  <si>
    <t>Bayer</t>
  </si>
  <si>
    <t>Faux Linen Rod Pocket and Back Tab Fleece Lined Curtain Panel</t>
  </si>
  <si>
    <t>PP001631;PF005475</t>
  </si>
  <si>
    <t>7/10/2021</t>
  </si>
  <si>
    <t>BBBDROP,BLK01,CSNSTORES,DESINC,JCPENNEY01,KOHLDSN,MACY02,OVERSTOCK01</t>
  </si>
  <si>
    <t>10/19/2022</t>
  </si>
  <si>
    <t>11/9/2022</t>
  </si>
  <si>
    <t>MP40-7494</t>
  </si>
  <si>
    <t>Faux Linen Tab Top Fleece Lined Curtain Panel</t>
  </si>
  <si>
    <t>BLK01,CSNSTORES,JCPENNEY01,KOHLDSN,MACY02</t>
  </si>
  <si>
    <t>5/2/2022</t>
  </si>
  <si>
    <t>6/16/2022</t>
  </si>
  <si>
    <t>MP40-7496</t>
  </si>
  <si>
    <t>BBBDROP,BLK01,CSNSTORES,JCPENNEY01,KOHLDSN,MACY02,OVERSTOCK01,TGTDVS</t>
  </si>
  <si>
    <t>11/11/2022</t>
  </si>
  <si>
    <t>MP40-4362</t>
  </si>
  <si>
    <t>Brooklyn</t>
  </si>
  <si>
    <t>Asher</t>
  </si>
  <si>
    <t>Peyton</t>
  </si>
  <si>
    <t>Metallic Geo Embroidered Curtain Panel</t>
  </si>
  <si>
    <t>PF003865</t>
  </si>
  <si>
    <t>Geometric</t>
  </si>
  <si>
    <t>5/18/2017</t>
  </si>
  <si>
    <t>BBBDROP,BEALLSDS,BLK01,CSNSTORES,JCPENNEY01,MACY02,OVERSTOCK01,TGTDVS,WALMARTDS</t>
  </si>
  <si>
    <t>10/15/2018</t>
  </si>
  <si>
    <t>MP40-4363</t>
  </si>
  <si>
    <t>11/20/2018</t>
  </si>
  <si>
    <t>MP40-4364</t>
  </si>
  <si>
    <t>5/1/2024</t>
  </si>
  <si>
    <t>BBBDROP,BEALLSDS,CSNSTORES,JCPENNEY01,KOHLDSN,MACY02,OVERSTOCK01,TGTDVS</t>
  </si>
  <si>
    <t>2/14/2019</t>
  </si>
  <si>
    <t>MP40-4359</t>
  </si>
  <si>
    <t>PF003864</t>
  </si>
  <si>
    <t>6/17/2017</t>
  </si>
  <si>
    <t>BBBDROP,BEALLSDS,CSNSTORES,FINGERHUTDS,JCPENNEY01,KOHLDSN,MACY02,OVERSTOCK01,TGTDVS</t>
  </si>
  <si>
    <t>9/21/2018</t>
  </si>
  <si>
    <t>MP40-4360</t>
  </si>
  <si>
    <t>1/2/2019</t>
  </si>
  <si>
    <t>MP40-4361</t>
  </si>
  <si>
    <t>BBBDROP,BEALLSDS,BLK01,CSNSTORES,JCPENNEY01,KOHLDSN,MACY02,OVERSTOCK01,TGTDVS</t>
  </si>
  <si>
    <t>10/29/2018</t>
  </si>
  <si>
    <t>MP40-3506</t>
  </si>
  <si>
    <t>Serene</t>
  </si>
  <si>
    <t>Belle</t>
  </si>
  <si>
    <t>Monroe</t>
  </si>
  <si>
    <t>Embroidered Curtain Panel</t>
  </si>
  <si>
    <t>PF003400;PP000505</t>
  </si>
  <si>
    <t>MP40-3504</t>
  </si>
  <si>
    <t>PF003398;PP000505</t>
  </si>
  <si>
    <t>AMAZON,AMAZONDS,ASHFURNDS,BBBDROP,BIGLOTSDS,BLK01,CSNSTORES,KOHLDSN,MACY02,OVERSTOCK01,TGTDVS,WALMARTDS</t>
  </si>
  <si>
    <t>6/13/2018</t>
  </si>
  <si>
    <t>MP40-1531</t>
  </si>
  <si>
    <t>PF003399;PP000505</t>
  </si>
  <si>
    <t>Traditional</t>
  </si>
  <si>
    <t>AMAZON,BBBDROP,BIGLOTSDS,BLK01,CSNSTORES,FINGERHUTDS,HSNDS,JCPENNEY01,KOHLDSN,MACY02,OVERSTOCK01,TGTDVS,WALMARTDS</t>
  </si>
  <si>
    <t>4/3/2018</t>
  </si>
  <si>
    <t>MP40-5470</t>
  </si>
  <si>
    <t>PF003401;PP000505</t>
  </si>
  <si>
    <t>1/3/2018</t>
  </si>
  <si>
    <t>AMAZON,BBBDROP,BLK01,CSNSTORES,JCPENNEY01,KOHLDSN,MACY02,OVERSTOCK01,TGTDVS</t>
  </si>
  <si>
    <t>MP40-5478</t>
  </si>
  <si>
    <t>PF003405;PP000505</t>
  </si>
  <si>
    <t>5/22/2024</t>
  </si>
  <si>
    <t>9/4/2018</t>
  </si>
  <si>
    <t>10/9/2018</t>
  </si>
  <si>
    <t>MP40-4209</t>
  </si>
  <si>
    <t>PF003404;PP000505</t>
  </si>
  <si>
    <t>3/5/2024</t>
  </si>
  <si>
    <t>AMAZON,AMAZONDS,ASHFURNDS,BBBDROP,BLK01,CSNSTORES,FINGERHUTDS,JCPENNEY01,KOHLDSN,MACY02,OVERSTOCK01,TGTDVS,WALMARTDS</t>
  </si>
  <si>
    <t>MP40-6610</t>
  </si>
  <si>
    <t>Cameron</t>
  </si>
  <si>
    <t>Quinn</t>
  </si>
  <si>
    <t>Ryan</t>
  </si>
  <si>
    <t>Yarn Dyed Texture Grommet Top Panel</t>
  </si>
  <si>
    <t>Mocha</t>
  </si>
  <si>
    <t>PP001353;PF004835</t>
  </si>
  <si>
    <t>9/19/2019</t>
  </si>
  <si>
    <t>AMAZON,AMAZONDS,BBBDROP,CSNSTORES,KOHLDSN,MACY02,OVERSTOCK01,TGTDVS</t>
  </si>
  <si>
    <t>2/11/2020</t>
  </si>
  <si>
    <t>MP40-6611</t>
  </si>
  <si>
    <t>AMAZON,BBBDROP,CSNSTORES,JCPENNEY01,KOHLDSN,MACY02,TGTDVS,WALMARTDS</t>
  </si>
  <si>
    <t>2/19/2020</t>
  </si>
  <si>
    <t>MP40-6612</t>
  </si>
  <si>
    <t>PP001353;PF004836</t>
  </si>
  <si>
    <t>AMAZON,BBBDROP,CSNSTORES,KOHLDSN,MACY02,OVERSTOCK01,TGTDVS</t>
  </si>
  <si>
    <t>MP40-6613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</si>
  <si>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</si>
  <si>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</si>
  <si>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</si>
  <si>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</si>
  <si>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</si>
  <si>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</si>
  <si>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</si>
  <si>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AMAZON,AMAZONDS,BBBDROP,BLK01,CSNSTORES,HSNDS,JCPENNEY01,KOHLDSN,MACY02,OVERSTOCK01,TGTDVS,WALMARTDS,Zulily</t>
  </si>
  <si>
    <t>9/18/2018</t>
  </si>
  <si>
    <t>WIN40-140</t>
  </si>
  <si>
    <t>AMAZON,AMAZONDS,BBBDROP,BLK01,CSNSTORES,FINGERHUTDS,HSNDS,JCPENNEY01,KOHLDSN,MACY02,OVERSTOCK01,TGTDVS,WALMARTDS</t>
  </si>
  <si>
    <t>9/17/2018</t>
  </si>
  <si>
    <t>MP40-6761</t>
  </si>
  <si>
    <t>Anaheim</t>
  </si>
  <si>
    <t>Salford</t>
  </si>
  <si>
    <t>Preston</t>
  </si>
  <si>
    <t>Plaid Faux Leather Tab Top Curtain Panel with Fleece Lining</t>
  </si>
  <si>
    <t>A</t>
  </si>
  <si>
    <t>PP001397;PF004933</t>
  </si>
  <si>
    <t>Plaid</t>
  </si>
  <si>
    <t>10/31/2019</t>
  </si>
  <si>
    <t>12/21/2023</t>
  </si>
  <si>
    <t>AMAZON,AMAZONDS,BBBDROP,CSNSTORES,KOHLDSN,MACY02,OVERSTOCK01,TGTDVS,WALMARTDS,Zulily</t>
  </si>
  <si>
    <t>MP40-6763</t>
  </si>
  <si>
    <t>Plaid Rod Pocket and Back Tab Curtain Panel with Fleece Lining</t>
  </si>
  <si>
    <t>1/21/2024</t>
  </si>
  <si>
    <t>AMAZONDS,BBBDROP,CSNSTORES,KOHLDSN,MACY02,OVERSTOCK01,TGTDVS</t>
  </si>
  <si>
    <t>4/6/2020</t>
  </si>
  <si>
    <t>MP40-6764</t>
  </si>
  <si>
    <t>AMAZONDS,BBBDROP,CSNSTORES,JCPENNEY01,KOHLDSN,MACY02,OVERSTOCK01,TGTDVS,WALMARTDS</t>
  </si>
  <si>
    <t>4/27/2020</t>
  </si>
  <si>
    <t>MP40-6769</t>
  </si>
  <si>
    <t>PP001397;PF004935</t>
  </si>
  <si>
    <t>Lodge/Cabin</t>
  </si>
  <si>
    <t>BBBDROP,CSNSTORES,JCPENNEY01,KOHLDSN,MACY02,OVERSTOCK01,TGTDVS,WALMARTDS</t>
  </si>
  <si>
    <t>7/21/2020</t>
  </si>
  <si>
    <t>MP40-6772</t>
  </si>
  <si>
    <t>Plaid Rod Pocket and Back Tab Panel with Fleece Lining</t>
  </si>
  <si>
    <t>3/5/2020</t>
  </si>
  <si>
    <t>MP40-6765</t>
  </si>
  <si>
    <t>Brown</t>
  </si>
  <si>
    <t>PP001397;PF004934</t>
  </si>
  <si>
    <t>AMAZON,AMAZONDS,BBBDROP,BLK01,CSNSTORES,JCPENNEY01,MACY02,OVERSTOCK01,TGTDVS,WALMARTDS</t>
  </si>
  <si>
    <t>3/25/2020</t>
  </si>
  <si>
    <t>MP40-6767</t>
  </si>
  <si>
    <t>AMAZON,AMAZONDS,BBBDROP,CSNSTORES,KOHLDSN,MACY02,OVERSTOCK01,TGTDVS,WALMARTDS</t>
  </si>
  <si>
    <t>7/14/2020</t>
  </si>
  <si>
    <t>MP40-6768</t>
  </si>
  <si>
    <t>AMAZONDS,BBBDROP,BLK01,CSNSTORES,KOHLDSN,MACY02,OVERSTOCK01,TGTDVS,WALMARTDS</t>
  </si>
  <si>
    <t>5/4/2020</t>
  </si>
  <si>
    <t>MP40-8297</t>
  </si>
  <si>
    <t>PP001397;PF006073</t>
  </si>
  <si>
    <t>Mid-Century|Lodge/Cabin</t>
  </si>
  <si>
    <t>10/12/2023</t>
  </si>
  <si>
    <t>MP40-8295</t>
  </si>
  <si>
    <t>9/22/2023</t>
  </si>
  <si>
    <t>MP40-8296</t>
  </si>
  <si>
    <t>MP40-8274</t>
  </si>
  <si>
    <t>PP001397;PF006072</t>
  </si>
  <si>
    <t>MP40-8276</t>
  </si>
  <si>
    <t>MP40-8275</t>
  </si>
  <si>
    <t>MP40-2217</t>
  </si>
  <si>
    <t>Bessie</t>
  </si>
  <si>
    <t>Kylie</t>
  </si>
  <si>
    <t>Laurie</t>
  </si>
  <si>
    <t>Cotton Horizontal Ruffle Curtain</t>
  </si>
  <si>
    <t>Pink</t>
  </si>
  <si>
    <t>PF003974</t>
  </si>
  <si>
    <t>BLK01,MACY02</t>
  </si>
  <si>
    <t>MP40-2233</t>
  </si>
  <si>
    <t>PF003973</t>
  </si>
  <si>
    <t>WIN40-142</t>
  </si>
  <si>
    <t>AMAZON,BBBDROP,BLK01,FINGERHUTDS,HSNDS,JCPENNEY01,KOHLDSN,MACY02,OVERSTOCK01,TGTDVS</t>
  </si>
  <si>
    <t>MP40-3010</t>
  </si>
  <si>
    <t>Anaya</t>
  </si>
  <si>
    <t>Adria</t>
  </si>
  <si>
    <t>Ally</t>
  </si>
  <si>
    <t>Window Curtain</t>
  </si>
  <si>
    <t>Blue/Brown</t>
  </si>
  <si>
    <t>PF003917</t>
  </si>
  <si>
    <t>Floral</t>
  </si>
  <si>
    <t>2/1/2019</t>
  </si>
  <si>
    <t>WIN40-104</t>
  </si>
  <si>
    <t>AMAZON,BBBDROP,BLK01,CSNSTORES,JCPENNEY01,KOHLDSN,MACY02,OVERSTOCK01,TGTDVS,WALMARTDS,Zulily</t>
  </si>
  <si>
    <t>11/26/2018</t>
  </si>
  <si>
    <t>MP40-3011</t>
  </si>
  <si>
    <t>Purple/Grey</t>
  </si>
  <si>
    <t>PF003928</t>
  </si>
  <si>
    <t>3/26/2019</t>
  </si>
  <si>
    <t>MP40-6781</t>
  </si>
  <si>
    <t>Arcadia</t>
  </si>
  <si>
    <t>Bassi</t>
  </si>
  <si>
    <t>Emery</t>
  </si>
  <si>
    <t>Crinkle Matte Satin Panel</t>
  </si>
  <si>
    <t>PP001406;PF004950</t>
  </si>
  <si>
    <t>11/5/2019</t>
  </si>
  <si>
    <t>5/5/2020</t>
  </si>
  <si>
    <t>MP40-6782</t>
  </si>
  <si>
    <t>6/15/2020</t>
  </si>
  <si>
    <t>MP40-6785</t>
  </si>
  <si>
    <t>PP001406;PF004952</t>
  </si>
  <si>
    <t>2/26/2020</t>
  </si>
  <si>
    <t>MP40-6786</t>
  </si>
  <si>
    <t>AMAZON,AMAZONDS,BBBDROP,CSNSTORES,KOHLDSN,MACY02,OVERSTOCK01</t>
  </si>
  <si>
    <t>6/8/2020</t>
  </si>
  <si>
    <t>MP40-6783</t>
  </si>
  <si>
    <t>PP001406;PF004951</t>
  </si>
  <si>
    <t>4/23/2020</t>
  </si>
  <si>
    <t>MP40-6784</t>
  </si>
  <si>
    <t>2/4/2020</t>
  </si>
  <si>
    <t>MP40-6780</t>
  </si>
  <si>
    <t>Aubrey</t>
  </si>
  <si>
    <t>Whitman</t>
  </si>
  <si>
    <t>Valerie</t>
  </si>
  <si>
    <t>Jacquard Total Blackout Curtain Panel</t>
  </si>
  <si>
    <t>PF003388;PP000381</t>
  </si>
  <si>
    <t>Paisley</t>
  </si>
  <si>
    <t>7/1/2020</t>
  </si>
  <si>
    <t>AMAZON,AMAZONDS,BBBDROP,BIGLOTSDS,CSNSTORES,KOHLDSN,MACY02,OVERSTOCK01,TGTDVS</t>
  </si>
  <si>
    <t>12/3/2020</t>
  </si>
  <si>
    <t>12/21/2020</t>
  </si>
  <si>
    <t>MP40-6779</t>
  </si>
  <si>
    <t>PF003389;PP000381</t>
  </si>
  <si>
    <t>12/19/2020</t>
  </si>
  <si>
    <t>MP40-719</t>
  </si>
  <si>
    <t>Delray Diamond</t>
  </si>
  <si>
    <t>Ella</t>
  </si>
  <si>
    <t>42x63"</t>
  </si>
  <si>
    <t>PF003851;PP000409</t>
  </si>
  <si>
    <t>AMAZON,BBBDROP,BLK01,CSNSTORES,HSNDS,KOHLDSN,MACY02,OVERSTOCK01,TGTDVS,WALMARTDS</t>
  </si>
  <si>
    <t>3/3/2017</t>
  </si>
  <si>
    <t>WIN40-101</t>
  </si>
  <si>
    <t>42x84"</t>
  </si>
  <si>
    <t>BBBDROP,BLK01,CSNSTORES,KOHLDSN,MACY02,OVERSTOCK01,TGTDVS,WALMARTDS</t>
  </si>
  <si>
    <t>3/24/2017</t>
  </si>
  <si>
    <t>MP40-1304</t>
  </si>
  <si>
    <t>PF003862;PP000409</t>
  </si>
  <si>
    <t>AMAZON,BBBDROP,BLK01,CSNSTORES,FINGERHUTDS,KOHLDSN,MACY02,OVERSTOCK01,TGTDVS,WALMARTDS</t>
  </si>
  <si>
    <t>2/23/2017</t>
  </si>
  <si>
    <t>MP40-6739</t>
  </si>
  <si>
    <t>Meredith</t>
  </si>
  <si>
    <t>Abelia</t>
  </si>
  <si>
    <t>Trevi</t>
  </si>
  <si>
    <t>Floral Embroidered Sheer</t>
  </si>
  <si>
    <t>Blush/Purple</t>
  </si>
  <si>
    <t>PF004926</t>
  </si>
  <si>
    <t>BBBDROP,KOHLDSN,MACY02,OVERSTOCK01,WALMARTDS</t>
  </si>
  <si>
    <t>MP40-6740</t>
  </si>
  <si>
    <t>BBBDROP,KOHLDSN,MACY02</t>
  </si>
  <si>
    <t>MP40-6741</t>
  </si>
  <si>
    <t>BBBDROP,KOHLDSN,MACY02,OVERSTOCK01,TGTDVS,Zulily</t>
  </si>
  <si>
    <t>MP40-6742</t>
  </si>
  <si>
    <t>BBBDROP,KOHLDSN,MACY02,OVERSTOCK01,TGTDVS</t>
  </si>
  <si>
    <t>4/29/2020</t>
  </si>
  <si>
    <t>MP40-7789</t>
  </si>
  <si>
    <t>ROMAN SHADE</t>
  </si>
  <si>
    <t>Alden</t>
  </si>
  <si>
    <t>Oakley</t>
  </si>
  <si>
    <t>Willow</t>
  </si>
  <si>
    <t>Bamboo Light Filtering Roman Shade 64"L</t>
  </si>
  <si>
    <t>27x64"</t>
  </si>
  <si>
    <t>PP001721;PF005634</t>
  </si>
  <si>
    <t>Bamboo</t>
  </si>
  <si>
    <t>4/5/2022</t>
  </si>
  <si>
    <t>AMAZONDS,CSNSTORES,JCPENNEY01,KOHLDSN,MACY02,OVERSTOCK01</t>
  </si>
  <si>
    <t>MP40-7790</t>
  </si>
  <si>
    <t>29x64"</t>
  </si>
  <si>
    <t>12/2/2022</t>
  </si>
  <si>
    <t>MP40-7791</t>
  </si>
  <si>
    <t>31x64"</t>
  </si>
  <si>
    <t>11/16/2022</t>
  </si>
  <si>
    <t>MP40-7792</t>
  </si>
  <si>
    <t>33x64"</t>
  </si>
  <si>
    <t>AMAZONDS,BBBDROP,CSNSTORES,JCPENNEY01,KOHLDSN,MACY02,OVERSTOCK01</t>
  </si>
  <si>
    <t>11/15/2022</t>
  </si>
  <si>
    <t>MP40-7793</t>
  </si>
  <si>
    <t>35x64"</t>
  </si>
  <si>
    <t>AMAZONDS,BBBDROP,CSNSTORES,JCPENNEY01,MACY02,OVERSTOCK01</t>
  </si>
  <si>
    <t>MP40-7794</t>
  </si>
  <si>
    <t>PP001721;PF005635</t>
  </si>
  <si>
    <t>11/14/2022</t>
  </si>
  <si>
    <t>MP40-7795</t>
  </si>
  <si>
    <t>AMAZONDS,CSNSTORES,JCPENNEY01,MACY02,OVERSTOCK01</t>
  </si>
  <si>
    <t>1/17/2023</t>
  </si>
  <si>
    <t>MP40-7796</t>
  </si>
  <si>
    <t>MP40-7797</t>
  </si>
  <si>
    <t>AMAZONDS,CSNSTORES,MACY02,OVERSTOCK01</t>
  </si>
  <si>
    <t>1/10/2023</t>
  </si>
  <si>
    <t>MP40-7798</t>
  </si>
  <si>
    <t>MP40-7746</t>
  </si>
  <si>
    <t>Galen</t>
  </si>
  <si>
    <t>Colm</t>
  </si>
  <si>
    <t>Paxton</t>
  </si>
  <si>
    <t>Basketweave Room Darkening Cordless Roman Shade</t>
  </si>
  <si>
    <t>23x64"</t>
  </si>
  <si>
    <t>PP001307;PF004745</t>
  </si>
  <si>
    <t>Microfiber</t>
  </si>
  <si>
    <t>11/23/2021</t>
  </si>
  <si>
    <t>AMAZON,AMAZONDS,BBBDROP,BLK01,CSNSTORES,HDDS,JCPENNEY01,KOHLDSN,MACY02,OVERSTOCK01</t>
  </si>
  <si>
    <t>2/3/2023</t>
  </si>
  <si>
    <t>MP40-6547</t>
  </si>
  <si>
    <t>9/16/2019</t>
  </si>
  <si>
    <t>AMAZON,AMAZONDS,ASHFURNDS,BBBDROP,CSNSTORES,HDDS,JCPENNEY01,KOHLDSN,MACY02,OVERSTOCK01,TGTDVS,WALMARTDS</t>
  </si>
  <si>
    <t>6/16/2020</t>
  </si>
  <si>
    <t>6/24/2020</t>
  </si>
  <si>
    <t>MP40-7747</t>
  </si>
  <si>
    <t>AMAZON,AMAZONDS,BBBDROP,BLK01,CSNSTORES,HDDS,JCPENNEY01,KOHLDSN,OVERSTOCK01,Zulily</t>
  </si>
  <si>
    <t>4/7/2023</t>
  </si>
  <si>
    <t>MP40-6548</t>
  </si>
  <si>
    <t>AMAZON,AMAZONDS,ASHFURNDS,BBBDROP,BLK01,CSNSTORES,JCPENNEY01,KOHLDSN,MACY02,OVERSTOCK01,TGTDVS,WALMARTDS</t>
  </si>
  <si>
    <t>6/29/2020</t>
  </si>
  <si>
    <t>MP40-6549</t>
  </si>
  <si>
    <t>9/10/2020</t>
  </si>
  <si>
    <t>MP40-7748</t>
  </si>
  <si>
    <t>34x64"</t>
  </si>
  <si>
    <t>AMAZON,AMAZONDS,BBBDROP,BLK01,CSNSTORES,HDDS,JCPENNEY01,KOHLDSN,MACY02,OVERSTOCK01,Zulily</t>
  </si>
  <si>
    <t>3/30/2023</t>
  </si>
  <si>
    <t>MP40-6550</t>
  </si>
  <si>
    <t>AMAZON,AMAZONDS,ASHFURNDS,BBBDROP,BLK01,CSNSTORES,DESINC,HDDS,JCPENNEY01,KOHLDSN,MACY02,OVERSTOCK01,TGTDVS,WALMARTDS</t>
  </si>
  <si>
    <t>9/21/2020</t>
  </si>
  <si>
    <t>MP40-7194</t>
  </si>
  <si>
    <t>39x64"</t>
  </si>
  <si>
    <t>AMAZON,AMAZONDS,ASHFURNDS,BBBDROP,BLK01,CSNSTORES,JCPENNEY01,KOHLDSN,MACY02,OVERSTOCK01,TGTDVS</t>
  </si>
  <si>
    <t>12/29/2020</t>
  </si>
  <si>
    <t>MP40-7992</t>
  </si>
  <si>
    <t>Basketweave Total Blackout Roman Shade</t>
  </si>
  <si>
    <t>27x64" Blackout</t>
  </si>
  <si>
    <t>8/16/2022</t>
  </si>
  <si>
    <t>AMAZONDS,CSNSTORES,JCPENNEY01,KOHLDSN</t>
  </si>
  <si>
    <t>4/24/2023</t>
  </si>
  <si>
    <t>5/31/2023</t>
  </si>
  <si>
    <t>MP40-7993</t>
  </si>
  <si>
    <t>31x64" Blackout</t>
  </si>
  <si>
    <t>AMAZONDS,CSNSTORES,JCPENNEY01,OVERSTOCK01</t>
  </si>
  <si>
    <t>6/5/2023</t>
  </si>
  <si>
    <t>MP40-7994</t>
  </si>
  <si>
    <t>35x64" Blackout</t>
  </si>
  <si>
    <t>AMAZONDS,CSNSTORES,JCPENNEY01,KOHLDSN,OVERSTOCK01</t>
  </si>
  <si>
    <t>8/28/2023</t>
  </si>
  <si>
    <t>MP40-7749</t>
  </si>
  <si>
    <t>PP001307;PF004746</t>
  </si>
  <si>
    <t>2/6/2023</t>
  </si>
  <si>
    <t>MP40-6551</t>
  </si>
  <si>
    <t>MP40-7750</t>
  </si>
  <si>
    <t>AMAZON,AMAZONDS,BBBDROP,BLK01,CSNSTORES,HDDS,JCPENNEY01,KOHLDSN,OVERSTOCK01</t>
  </si>
  <si>
    <t>MP40-6552</t>
  </si>
  <si>
    <t>6/22/2020</t>
  </si>
  <si>
    <t>MP40-6553</t>
  </si>
  <si>
    <t>AMAZON,AMAZONDS,ASHFURNDS,BBBDROP,CSNSTORES,JCPENNEY01,KOHLDSN,MACY02,OVERSTOCK01,TGTDVS,WALMARTDS</t>
  </si>
  <si>
    <t>8/5/2020</t>
  </si>
  <si>
    <t>MP40-7751</t>
  </si>
  <si>
    <t>AMAZON,AMAZONDS,BLK01,CSNSTORES,HDDS,JCPENNEY01,KOHLDSN,MACY02,OVERSTOCK01</t>
  </si>
  <si>
    <t>MP40-6554</t>
  </si>
  <si>
    <t>8/25/2020</t>
  </si>
  <si>
    <t>MP40-7195</t>
  </si>
  <si>
    <t>12/30/2020</t>
  </si>
  <si>
    <t>MP40-7989</t>
  </si>
  <si>
    <t>AMAZONDS</t>
  </si>
  <si>
    <t>7/4/2023</t>
  </si>
  <si>
    <t>MP40-7990</t>
  </si>
  <si>
    <t>AMAZONDS,CSNSTORES,KOHLDSN</t>
  </si>
  <si>
    <t>MP40-7991</t>
  </si>
  <si>
    <t>MP40-7864</t>
  </si>
  <si>
    <t>PP001307;PF005195</t>
  </si>
  <si>
    <t>3/21/2022</t>
  </si>
  <si>
    <t>12/7/2022</t>
  </si>
  <si>
    <t>3/13/2023</t>
  </si>
  <si>
    <t>MP40-7223</t>
  </si>
  <si>
    <t>9/2/2020</t>
  </si>
  <si>
    <t>AMAZON,AMAZONDS,ASHFURNDS,BBBDROP,BLK01,CSNSTORES,HDDS,JCPENNEY01,KOHLDSN,MACY02,OVERSTOCK01,TGTDVS</t>
  </si>
  <si>
    <t>1/11/2021</t>
  </si>
  <si>
    <t>MP40-7865</t>
  </si>
  <si>
    <t>AMAZONDS,BBBDROP,CSNSTORES,JCPENNEY01,KOHLDSN,OVERSTOCK01</t>
  </si>
  <si>
    <t>5/2/2023</t>
  </si>
  <si>
    <t>MP40-7224</t>
  </si>
  <si>
    <t>AMAZON,AMAZONDS,BBBDROP,CSNSTORES,DESINC,JCPENNEY01,KOHLDSN,MACY02,OVERSTOCK01,TGTDVS</t>
  </si>
  <si>
    <t>MP40-7225</t>
  </si>
  <si>
    <t>AMAZON,AMAZONDS,ASHFURNDS,BBBDROP,CSNSTORES,JCPENNEY01,KOHLDSN,MACY02,OVERSTOCK01,TGTDVS</t>
  </si>
  <si>
    <t>12/23/2020</t>
  </si>
  <si>
    <t>MP40-7866</t>
  </si>
  <si>
    <t>12/6/2022</t>
  </si>
  <si>
    <t>MP40-7226</t>
  </si>
  <si>
    <t>12/22/2020</t>
  </si>
  <si>
    <t>MP40-7227</t>
  </si>
  <si>
    <t>AMAZON,AMAZONDS,BBBDROP,CSNSTORES,DESINC,HDDS,JCPENNEY01,KOHLDSN,MACY02,OVERSTOCK01,TGTDVS</t>
  </si>
  <si>
    <t>12/28/2020</t>
  </si>
  <si>
    <t>MP40-7986</t>
  </si>
  <si>
    <t>MP40-7987</t>
  </si>
  <si>
    <t>AMAZONDS,CSNSTORES,KOHLDSN,OVERSTOCK01</t>
  </si>
  <si>
    <t>6/9/2023</t>
  </si>
  <si>
    <t>MP40-7988</t>
  </si>
  <si>
    <t>9/1/2023</t>
  </si>
  <si>
    <t>MP40-7870</t>
  </si>
  <si>
    <t>PP001307;PF005661</t>
  </si>
  <si>
    <t>AMAZONDS,BBBDROP,CSNSTORES,JCPENNEY01,OVERSTOCK01</t>
  </si>
  <si>
    <t>6/6/2023</t>
  </si>
  <si>
    <t>MP40-7317</t>
  </si>
  <si>
    <t>1/5/2021</t>
  </si>
  <si>
    <t>AMAZON,AMAZONDS,BBBDROP,BLK01,CSNSTORES,HDDS,JCPENNEY01,KOHLDSN,OVERSTOCK01,TGTDVS,Zulily</t>
  </si>
  <si>
    <t>7/4/2022</t>
  </si>
  <si>
    <t>MP40-7871</t>
  </si>
  <si>
    <t>MP40-7318</t>
  </si>
  <si>
    <t>AMAZON,AMAZONDS,BBBDROP,CSNSTORES,HDDS,JCPENNEY01,KOHLDSN,OVERSTOCK01,TGTDVS</t>
  </si>
  <si>
    <t>12/13/2022</t>
  </si>
  <si>
    <t>MP40-7319</t>
  </si>
  <si>
    <t>AMAZON,AMAZONDS,ASHFURNDS,CSNSTORES,HDDS,JCPENNEY01,KOHLDSN,MACY02,OVERSTOCK01,TGTDVS,Zulily</t>
  </si>
  <si>
    <t>7/20/2022</t>
  </si>
  <si>
    <t>MP40-7872</t>
  </si>
  <si>
    <t>3/9/2023</t>
  </si>
  <si>
    <t>MP40-7320</t>
  </si>
  <si>
    <t>AMAZON,AMAZONDS,ASHFURNDS,CSNSTORES,HDDS,JCPENNEY01,KOHLDSN,MACY02,OVERSTOCK01,TGTDVS</t>
  </si>
  <si>
    <t>6/14/2022</t>
  </si>
  <si>
    <t>MP40-7321</t>
  </si>
  <si>
    <t>AMAZON,AMAZONDS,ASHFURNDS,BBBDROP,CSNSTORES,HDDS,JCPENNEY01,KOHLDSN,MACY02,OVERSTOCK01,TGTDVS</t>
  </si>
  <si>
    <t>MP40-7867</t>
  </si>
  <si>
    <t>Taupe</t>
  </si>
  <si>
    <t>PP001307;PF005660</t>
  </si>
  <si>
    <t>5/18/2023</t>
  </si>
  <si>
    <t>MP40-7322</t>
  </si>
  <si>
    <t>AMAZON,AMAZONDS,ASHFURNDS,BBBDROP,BLK01,CSNSTORES,HDDS,JCPENNEY01,KOHLDSN,MACY02,OVERSTOCK01,TGTDVS,Zulily</t>
  </si>
  <si>
    <t>7/5/2022</t>
  </si>
  <si>
    <t>MP40-7868</t>
  </si>
  <si>
    <t>4/18/2023</t>
  </si>
  <si>
    <t>MP40-7323</t>
  </si>
  <si>
    <t>AMAZON,AMAZONDS,BBBDROP,CSNSTORES,HDDS,JCPENNEY01,KOHLDSN,OVERSTOCK01,TGTDVS,Zulily</t>
  </si>
  <si>
    <t>5/26/2022</t>
  </si>
  <si>
    <t>MP40-7324</t>
  </si>
  <si>
    <t>MP40-7869</t>
  </si>
  <si>
    <t>MP40-7325</t>
  </si>
  <si>
    <t>MP40-7326</t>
  </si>
  <si>
    <t>MP40-8088</t>
  </si>
  <si>
    <t>12/14/2022</t>
  </si>
  <si>
    <t>CSNSTORES,KOHLDSN,OVERSTOCK01</t>
  </si>
  <si>
    <t>MP40-8089</t>
  </si>
  <si>
    <t>CSNSTORES,JCPENNEY01,KOHLDSN</t>
  </si>
  <si>
    <t>7/18/2023</t>
  </si>
  <si>
    <t>MP40-8090</t>
  </si>
  <si>
    <t>CSNSTORES,JCPENNEY01,KOHLDSN,OVERSTOCK01</t>
  </si>
  <si>
    <t>9/18/2023</t>
  </si>
  <si>
    <t>MP40-8091</t>
  </si>
  <si>
    <t>8/4/2023</t>
  </si>
  <si>
    <t>MP40-8096</t>
  </si>
  <si>
    <t>MP40-8097</t>
  </si>
  <si>
    <t>JCPENNEY01,KOHLDSN,OVERSTOCK01</t>
  </si>
  <si>
    <t>MP40-8098</t>
  </si>
  <si>
    <t>MP40-8099</t>
  </si>
  <si>
    <t>CSNSTORES,OVERSTOCK01</t>
  </si>
  <si>
    <t>6/29/2023</t>
  </si>
  <si>
    <t>MP40-8092</t>
  </si>
  <si>
    <t>Indigo Blue</t>
  </si>
  <si>
    <t>MP40-8093</t>
  </si>
  <si>
    <t>MP40-8094</t>
  </si>
  <si>
    <t>7/17/2023</t>
  </si>
  <si>
    <t>MP40-7799</t>
  </si>
  <si>
    <t>Eastfield</t>
  </si>
  <si>
    <t>Lyndon</t>
  </si>
  <si>
    <t>Wren</t>
  </si>
  <si>
    <t>Natural Ash</t>
  </si>
  <si>
    <t>PP001722;PF005636</t>
  </si>
  <si>
    <t>12/16/2022</t>
  </si>
  <si>
    <t>MP40-7800</t>
  </si>
  <si>
    <t>2/7/2024</t>
  </si>
  <si>
    <t>2/7/2023</t>
  </si>
  <si>
    <t>MP40-7801</t>
  </si>
  <si>
    <t>MP40-7802</t>
  </si>
  <si>
    <t>AMAZONDS,CSNSTORES,JCPENNEY01,KOHLDSN,MACY02</t>
  </si>
  <si>
    <t>MP40-7803</t>
  </si>
  <si>
    <t>AMAZONDS,CSNSTORES,DESINC,JCPENNEY01,KOHLDSN,MACY02,OVERSTOCK01</t>
  </si>
  <si>
    <t>MP40-7804</t>
  </si>
  <si>
    <t>Grey Ash</t>
  </si>
  <si>
    <t>PP001722;PF005637</t>
  </si>
  <si>
    <t>MP40-7805</t>
  </si>
  <si>
    <t>1/9/2023</t>
  </si>
  <si>
    <t>MP40-7806</t>
  </si>
  <si>
    <t>MP40-7807</t>
  </si>
  <si>
    <t>2/8/2023</t>
  </si>
  <si>
    <t>MP40-7808</t>
  </si>
  <si>
    <t>12/27/2022</t>
  </si>
  <si>
    <t>MP40-7809</t>
  </si>
  <si>
    <t>Teak</t>
  </si>
  <si>
    <t>PP001722;PF005638</t>
  </si>
  <si>
    <t>MP40-7810</t>
  </si>
  <si>
    <t>1/16/2023</t>
  </si>
  <si>
    <t>MP40-7811</t>
  </si>
  <si>
    <t>4/8/2024</t>
  </si>
  <si>
    <t>AMAZONDS,BBBDROP,CSNSTORES,DESINC,JCPENNEY01,KOHLDSN,MACY02,OVERSTOCK01</t>
  </si>
  <si>
    <t>MP40-7812</t>
  </si>
  <si>
    <t>MP40-7813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</si>
  <si>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</si>
  <si>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</si>
  <si>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</si>
  <si>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</si>
  <si>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</si>
  <si>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</si>
  <si>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8/31/2021</t>
  </si>
  <si>
    <t>AMAZONDS,BBBDROP,CSNSTORES,JCPENNEY01,KOHLDSN,MACY02,OVERSTOCK01,TGTDVS</t>
  </si>
  <si>
    <t>7/13/2022</t>
  </si>
  <si>
    <t>MP40-7617</t>
  </si>
  <si>
    <t>AMAZONDS,CSNSTORES,HDDS,JCPENNEY01,KOHLDSN,MACY02,OVERSTOCK01</t>
  </si>
  <si>
    <t>MP40-7618</t>
  </si>
  <si>
    <t>AMAZONDS,CSNSTORES,MACY02,OVERSTOCK01,TGTDVS</t>
  </si>
  <si>
    <t>11/8/2022</t>
  </si>
  <si>
    <t>MP40-7619</t>
  </si>
  <si>
    <t>AMAZONDS,CSNSTORES,HDDS,JCPENNEY01,KOHLDSN,MACY02,OVERSTOCK01,TGTDVS</t>
  </si>
  <si>
    <t>MP40-7614</t>
  </si>
  <si>
    <t>PP001645;PF005501</t>
  </si>
  <si>
    <t>AMAZONDS,JCPENNEY01,MACY02,OVERSTOCK01,TGTDVS</t>
  </si>
  <si>
    <t>8/9/2022</t>
  </si>
  <si>
    <t>MP40-7615</t>
  </si>
  <si>
    <t>AMAZONDS,CSNSTORES,HDDS,KOHLDSN,MACY02,OVERSTOCK01,TGTDVS</t>
  </si>
  <si>
    <t>9/19/2022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</si>
  <si>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</si>
  <si>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</si>
  <si>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</si>
  <si>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</si>
  <si>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</si>
  <si>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</si>
  <si>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5/17/2021</t>
  </si>
  <si>
    <t>AMAZON,AMAZONDS,BBBDROP,CSNSTORES,JCPENNEY01,KOHLDSN,MACY02,TGTDVS</t>
  </si>
  <si>
    <t>MP40-7436</t>
  </si>
  <si>
    <t>AMAZON,AMAZONDS,BLK01,CSNSTORES,JCPENNEY01,KOHLDSN,TGTDVS</t>
  </si>
  <si>
    <t>7/21/2022</t>
  </si>
  <si>
    <t>MP40-7437</t>
  </si>
  <si>
    <t>AMAZON,JCPENNEY01,OVERSTOCK01,TGTDVS</t>
  </si>
  <si>
    <t>MP40-7438</t>
  </si>
  <si>
    <t>AMAZON,AMAZONDS,BBBDROP,CSNSTORES,JCPENNEY01,KOHLDSN,OVERSTOCK01,TGTDVS</t>
  </si>
  <si>
    <t>7/12/2022</t>
  </si>
  <si>
    <t>MP40-7439</t>
  </si>
  <si>
    <t>10/10/2022</t>
  </si>
  <si>
    <t>MP40-7440</t>
  </si>
  <si>
    <t>PP001428;PF004984</t>
  </si>
  <si>
    <t>AMAZON,BBBDROP,HDDS,KOHLDSN,MACY02,TGTDVS</t>
  </si>
  <si>
    <t>7/6/2022</t>
  </si>
  <si>
    <t>10/28/2022</t>
  </si>
  <si>
    <t>MP40-7441</t>
  </si>
  <si>
    <t>AMAZON,AMAZONDS,HDDS,OVERSTOCK01,TGTDVS</t>
  </si>
  <si>
    <t>MP40-7442</t>
  </si>
  <si>
    <t>AMAZON,AMAZONDS,HDDS,JCPENNEY01,TGTDVS</t>
  </si>
  <si>
    <t>MP40-7443</t>
  </si>
  <si>
    <t>AMAZON,AMAZONDS,HDDS,JCPENNEY01,KOHLDSN,TGTDVS</t>
  </si>
  <si>
    <t>MP40-7444</t>
  </si>
  <si>
    <t>AMAZON,AMAZONDS,BBBDROP,HDDS,JCPENNEY01,TGTDVS</t>
  </si>
  <si>
    <t>MP40-7928</t>
  </si>
  <si>
    <t>PP001428;PF005323</t>
  </si>
  <si>
    <t>AMAZONDS,CSNSTORES,JCPENNEY01</t>
  </si>
  <si>
    <t>7/11/2023</t>
  </si>
  <si>
    <t>MP40-7929</t>
  </si>
  <si>
    <t>8/3/2023</t>
  </si>
  <si>
    <t>MP40-7930</t>
  </si>
  <si>
    <t>AMAZONDS,JCPENNEY01,KOHLDSN,OVERSTOCK01</t>
  </si>
  <si>
    <t>10/30/2023</t>
  </si>
  <si>
    <t>MP40-7931</t>
  </si>
  <si>
    <t>AMAZONDS,JCPENNEY01,KOHLDSN</t>
  </si>
  <si>
    <t>6/1/2023</t>
  </si>
  <si>
    <t>MP40-7932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</si>
  <si>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</si>
  <si>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</si>
  <si>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</si>
  <si>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</si>
  <si>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</si>
  <si>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</si>
  <si>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</si>
  <si>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</si>
  <si>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AMAZONDS,KOHLDSN,OVERSTOCK01</t>
  </si>
  <si>
    <t>8/29/2023</t>
  </si>
  <si>
    <t>MP40-7941</t>
  </si>
  <si>
    <t>MP40-7445</t>
  </si>
  <si>
    <t>PP001428;PF004983</t>
  </si>
  <si>
    <t>AMAZON,AMAZONDS,CSNSTORES,HDDS,JCPENNEY01,TGTDVS,Zulily</t>
  </si>
  <si>
    <t>11/1/2022</t>
  </si>
  <si>
    <t>MP40-7446</t>
  </si>
  <si>
    <t>AMAZON,AMAZONDS,BBBDROP,CSNSTORES,HDDS,JCPENNEY01,TGTDVS</t>
  </si>
  <si>
    <t>6/13/2022</t>
  </si>
  <si>
    <t>MP40-7447</t>
  </si>
  <si>
    <t>AMAZON,AMAZONDS,CSNSTORES,HDDS,KOHLDSN,TGTDVS</t>
  </si>
  <si>
    <t>6/9/2022</t>
  </si>
  <si>
    <t>MP40-7448</t>
  </si>
  <si>
    <t>AMAZON,AMAZONDS,BBBDROP,HDDS,JCPENNEY01,KOHLDSN,TGTDVS</t>
  </si>
  <si>
    <t>7/28/2023</t>
  </si>
  <si>
    <t>MP40-7449</t>
  </si>
  <si>
    <t>AMAZON,AMAZONDS,HDDS,JCPENNEY01,KOHLDSN,OVERSTOCK01,TGTDVS</t>
  </si>
  <si>
    <t>MP40-7973</t>
  </si>
  <si>
    <t>Kyler</t>
  </si>
  <si>
    <t>Suvi</t>
  </si>
  <si>
    <t>Juno</t>
  </si>
  <si>
    <t>Linen Blend Light Filtering Cordless Roman Shade</t>
  </si>
  <si>
    <t>PP001787;PF005749</t>
  </si>
  <si>
    <t>8/30/2022</t>
  </si>
  <si>
    <t>CSNSTORES,JCPENNEY01,OVERSTOCK01</t>
  </si>
  <si>
    <t>MP40-7974</t>
  </si>
  <si>
    <t>6/13/2023</t>
  </si>
  <si>
    <t>MP40-7975</t>
  </si>
  <si>
    <t>9/20/2023</t>
  </si>
  <si>
    <t>MP40-7976</t>
  </si>
  <si>
    <t>AMAZONDS,JCPENNEY01,OVERSTOCK01</t>
  </si>
  <si>
    <t>MP40-7977</t>
  </si>
  <si>
    <t>BBBDROP,JCPENNEY01</t>
  </si>
  <si>
    <t>7/14/2023</t>
  </si>
  <si>
    <t>MP40-7978</t>
  </si>
  <si>
    <t>PP001787;PF005750</t>
  </si>
  <si>
    <t>AMAZONDS,CSNSTORES,DESINC,JCPENNEY01,KOHLDSN,OVERSTOCK01</t>
  </si>
  <si>
    <t>10/23/2023</t>
  </si>
  <si>
    <t>MP40-7979</t>
  </si>
  <si>
    <t>MP40-7980</t>
  </si>
  <si>
    <t>MP40-7981</t>
  </si>
  <si>
    <t>MP40-7982</t>
  </si>
  <si>
    <t>MP40-7968</t>
  </si>
  <si>
    <t>PP001787;PF005748</t>
  </si>
  <si>
    <t>5/12/2023</t>
  </si>
  <si>
    <t>MP40-7969</t>
  </si>
  <si>
    <t>MP40-7970</t>
  </si>
  <si>
    <t>6/28/2023</t>
  </si>
  <si>
    <t>MP40-7971</t>
  </si>
  <si>
    <t>6/12/2023</t>
  </si>
  <si>
    <t>MP40-7972</t>
  </si>
  <si>
    <t>MP40-8184</t>
  </si>
  <si>
    <t>Otis</t>
  </si>
  <si>
    <t>Leo</t>
  </si>
  <si>
    <t>Ivan</t>
  </si>
  <si>
    <t>Faux Linen Cordless Total Blackout Roman Shade</t>
  </si>
  <si>
    <t>PP001845;PF005903</t>
  </si>
  <si>
    <t>JCPENNEY01</t>
  </si>
  <si>
    <t>MP40-8185</t>
  </si>
  <si>
    <t>MP40-8186</t>
  </si>
  <si>
    <t>PP001845;PF005904</t>
  </si>
  <si>
    <t>JCPENNEY01,KOHLDSN</t>
  </si>
  <si>
    <t>MP40-8187</t>
  </si>
  <si>
    <t>9/4/2023</t>
  </si>
  <si>
    <t>MP40-8188</t>
  </si>
  <si>
    <t>10/26/2023</t>
  </si>
  <si>
    <t>MP40-8189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</si>
  <si>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</si>
  <si>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</si>
  <si>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</si>
  <si>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</si>
  <si>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</si>
  <si>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</si>
  <si>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</si>
  <si>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Sheer</t>
  </si>
  <si>
    <t>6/23/2017</t>
  </si>
  <si>
    <t>AMAZON,AMAZONDS,AMERSIGNDS,ASHFURNDS,BBBDROP,BEALLSDS,BLK01,CSNSTORES,DESINC,FINGERHUTDS,JCPENNEY01,KOHLDSN,MACY02,OVERSTOCK01,TGTDVS,WALMARTDS,Zulily</t>
  </si>
  <si>
    <t>9/10/2018</t>
  </si>
  <si>
    <t>MP40-7909</t>
  </si>
  <si>
    <t>PF001560;PP001540</t>
  </si>
  <si>
    <t>3/16/2022</t>
  </si>
  <si>
    <t>MP40-6605</t>
  </si>
  <si>
    <t>Mauve</t>
  </si>
  <si>
    <t>PF004834;PP001360</t>
  </si>
  <si>
    <t>AMAZON,AMERSIGNDS,ASHFURNDS,BBBDROP,BEALLSDS,BLK01,CSNSTORES,DESINC,FINGERHUTDS,JCPENNEY01,KOHLDSN,MACY02,OVERSTOCK01,TGTDVS</t>
  </si>
  <si>
    <t>MP40-7911</t>
  </si>
  <si>
    <t>MP40-7434</t>
  </si>
  <si>
    <t>PP001360;PF005422</t>
  </si>
  <si>
    <t>4/14/2021</t>
  </si>
  <si>
    <t>1/27/2023</t>
  </si>
  <si>
    <t>MP40-7908</t>
  </si>
  <si>
    <t>2/24/2023</t>
  </si>
  <si>
    <t>MP40-7228</t>
  </si>
  <si>
    <t>PP001540;PF005196</t>
  </si>
  <si>
    <t>9/22/2020</t>
  </si>
  <si>
    <t>AMAZON,ASHFURNDS,BBBDROP,BEALLSDS,BLK01,CSNSTORES,DESINC,FINGERHUTDS,JCPENNEY01,KOHLDSN,MACY02,OVERSTOCK01,TGTDVS</t>
  </si>
  <si>
    <t>MP40-7910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</si>
  <si>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</si>
  <si>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</si>
  <si>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</si>
  <si>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</si>
  <si>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</si>
  <si>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</si>
  <si>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</si>
  <si>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AMAZON,AMAZONDS,ASHFURNDS,BBBDROP,BLK01,CSNSTORES,DESINC,FINGERHUTDS,JCPENNEY01,KOHLDSN,MACY02,OVERSTOCK01,TGTDVS,WALMARTDS</t>
  </si>
  <si>
    <t>MP40-4380</t>
  </si>
  <si>
    <t>MP40-4381</t>
  </si>
  <si>
    <t>11/20/2022</t>
  </si>
  <si>
    <t>MP40-7491</t>
  </si>
  <si>
    <t>PP001628;PF005464</t>
  </si>
  <si>
    <t>9/24/2021</t>
  </si>
  <si>
    <t>AMAZONDS,BBBDROP,CSNSTORES,JCPENNEY01,KOHLDSN,MACY02</t>
  </si>
  <si>
    <t>10/24/2022</t>
  </si>
  <si>
    <t>MP40-7492</t>
  </si>
  <si>
    <t>AMAZONDS,BLK01,CSNSTORES,JCPENNEY01,KOHLDSN,MACY02,OVERSTOCK01</t>
  </si>
  <si>
    <t>MP40-7493</t>
  </si>
  <si>
    <t>MP40-8218</t>
  </si>
  <si>
    <t>Sage Green</t>
  </si>
  <si>
    <t>PP001628;PF006009</t>
  </si>
  <si>
    <t>6/16/2023</t>
  </si>
  <si>
    <t>MP40-8219</t>
  </si>
  <si>
    <t>PP001628;PF006010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</si>
  <si>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</si>
  <si>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</si>
  <si>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</si>
  <si>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</si>
  <si>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</si>
  <si>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</si>
  <si>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AMAZON,AMAZONDS,AMERSIGNDS,ASHFURNDS,BBBDROP,BLK01,CSNSTORES,HSNDS,JCPENNEY01,KOHLDSN,MACY02,OVERSTOCK01,TGTDVS,WALMARTDS</t>
  </si>
  <si>
    <t>5/9/2018</t>
  </si>
  <si>
    <t>MP40-1050</t>
  </si>
  <si>
    <t>Nature</t>
  </si>
  <si>
    <t>AMAZON,AMAZONDS,AMERSIGNDS,BBBDROP,BLK01,CSNSTORES,FINGERHUTDS,HSNDS,JCPENNEY01,KOHLDSN,MACY02,OVERSTOCK01,TGTDVS</t>
  </si>
  <si>
    <t>8/4/2016</t>
  </si>
  <si>
    <t>4/13/2018</t>
  </si>
  <si>
    <t>MP40-3008</t>
  </si>
  <si>
    <t>AMAZON,AMAZONDS,ASHFURNDS,BBBDROP,BLK01,CSNSTORES,HSNDS,JCPENNEY01,KOHLDSN,MACY02,OVERSTOCK01,TGTDVS</t>
  </si>
  <si>
    <t>MP40-3594</t>
  </si>
  <si>
    <t>PF003984</t>
  </si>
  <si>
    <t>4/23/2018</t>
  </si>
  <si>
    <t>MP40-3595</t>
  </si>
  <si>
    <t>AMAZON,BBBDROP,CSNSTORES,JCPENNEY01,KOHLDSN,MACY02,OVERSTOCK01,TGTDVS,WALMARTDS</t>
  </si>
  <si>
    <t>MP40-3596</t>
  </si>
  <si>
    <t>4/17/2018</t>
  </si>
  <si>
    <t>MP40-6614</t>
  </si>
  <si>
    <t>Simone</t>
  </si>
  <si>
    <t>Fleur</t>
  </si>
  <si>
    <t>Printed Floral Twist Tab Top Voile Sheer Curtain</t>
  </si>
  <si>
    <t>PP001352;PF004832</t>
  </si>
  <si>
    <t>10/18/2019</t>
  </si>
  <si>
    <t>AMAZON,AMAZONDS,BBBDROP,BLK01,CSNSTORES,JCPENNEY01,KOHLDSN,MACY02,OVERSTOCK01,TGTDVS,WALMARTDS</t>
  </si>
  <si>
    <t>2/3/2020</t>
  </si>
  <si>
    <t>MP40-6616</t>
  </si>
  <si>
    <t>Printed Floral Rod Pocket and Back Tab Voile Sheer Curtain</t>
  </si>
  <si>
    <t>1/30/2020</t>
  </si>
  <si>
    <t>MP40-6615</t>
  </si>
  <si>
    <t>AMAZON,AMAZONDS,BBBDROP,CSNSTORES,JCPENNEY01,KOHLDSN,MACY02,OVERSTOCK01,WALMARTDS</t>
  </si>
  <si>
    <t>MP40-6617</t>
  </si>
  <si>
    <t>AMAZON,BBBDROP,BLK01,CSNSTORES,JCPENNEY01,MACY02,OVERSTOCK01,TGTDVS,WALMARTDS</t>
  </si>
  <si>
    <t>2/18/2020</t>
  </si>
  <si>
    <t>MP40-6620</t>
  </si>
  <si>
    <t>PP001352;PF004833</t>
  </si>
  <si>
    <t>BBBDROP,CSNSTORES,JCPENNEY01,KOHLDSN,MACY02,TGTDVS,WALMARTDS</t>
  </si>
  <si>
    <t>2/7/2020</t>
  </si>
  <si>
    <t>MP40-6622</t>
  </si>
  <si>
    <t>AMAZON,AMAZONDS,BBBDROP,CSNSTORES,JCPENNEY01,KOHLDSN,MACY02,TGTDVS,WALMARTDS</t>
  </si>
  <si>
    <t>3/20/2020</t>
  </si>
  <si>
    <t>MP40-6621</t>
  </si>
  <si>
    <t>MP40-6623</t>
  </si>
  <si>
    <t>BBBDROP,BLK01,CSNSTORES,KOHLDSN,MACY02,OVERSTOCK01,WALMARTDS</t>
  </si>
  <si>
    <t>1/22/2020</t>
  </si>
  <si>
    <t>MP40-6775</t>
  </si>
  <si>
    <t>PP001352;PF004944</t>
  </si>
  <si>
    <t>MP40-6774</t>
  </si>
  <si>
    <t>AMAZON,BBBDROP,CSNSTORES,JCPENNEY01,KOHLDSN,MACY02,OVERSTOCK01</t>
  </si>
  <si>
    <t>3/4/2020</t>
  </si>
  <si>
    <t>MP40-6776</t>
  </si>
  <si>
    <t>AMAZON,BBBDROP,BLK01,CSNSTORES,KOHLDSN,MACY02,OVERSTOCK01,TGTDVS</t>
  </si>
  <si>
    <t>4/7/2020</t>
  </si>
  <si>
    <t>MP40-8117</t>
  </si>
  <si>
    <t>PP001352;PF005873</t>
  </si>
  <si>
    <t>10/21/2022</t>
  </si>
  <si>
    <t>MP40-8119</t>
  </si>
  <si>
    <t>MP40-8118</t>
  </si>
  <si>
    <t>MP40-8120</t>
  </si>
  <si>
    <t>MP40-5019</t>
  </si>
  <si>
    <t>Irina</t>
  </si>
  <si>
    <t>Iris</t>
  </si>
  <si>
    <t>Clarissa</t>
  </si>
  <si>
    <t>Diamond Sheer Extra Wide Window Curtain</t>
  </si>
  <si>
    <t>PF004005</t>
  </si>
  <si>
    <t>9/8/2017</t>
  </si>
  <si>
    <t>AMAZON,BBBDROP,CSNSTORES,HDDS,KOHLDSN,MACY02,OVERSTOCK01,TGTDVS,WALMARTDS</t>
  </si>
  <si>
    <t>MP40-1064</t>
  </si>
  <si>
    <t>Diamond Sheer Window Curtain Panel</t>
  </si>
  <si>
    <t>AMAZON,AMAZONDS,ASHFURNDS,BBBDROP,BIGLOTSDS,BLK01,CSNSTORES,HDDS,JCPENNEY01,KOHLDSN,MACY02,OVERSTOCK01,TGTDVS</t>
  </si>
  <si>
    <t>MP40-2332</t>
  </si>
  <si>
    <t>AMAZON,AMAZONDS,ASHFURNDS,BBBDROP,BIGLOTSDS,CSNSTORES,DESINC,HDDS,JCPENNEY01,KOHLDSN,MACY02,OVERSTOCK01,TGTDVS,WALMARTDS</t>
  </si>
  <si>
    <t>MP40-5022</t>
  </si>
  <si>
    <t>Diamond Sheer Extra Wide Window Curtain Panel</t>
  </si>
  <si>
    <t>PF004007</t>
  </si>
  <si>
    <t>ASHFURNDS,BBBDROP,CSNSTORES,HDDS,KOHLDSN,MACY02,OVERSTOCK01,TGTDVS,WALMARTDS</t>
  </si>
  <si>
    <t>MP40-1066</t>
  </si>
  <si>
    <t>AMAZON,AMAZONDS,BBBDROP,BIGLOTSDS,BLK01,CSNSTORES,HDDS,JCPENNEY01,KOHLDSN,MACY02,OVERSTOCK01,TGTDVS</t>
  </si>
  <si>
    <t>MP40-2334</t>
  </si>
  <si>
    <t>MP40-5021</t>
  </si>
  <si>
    <t>PF004006</t>
  </si>
  <si>
    <t>MP40-1065</t>
  </si>
  <si>
    <t>AMAZON,AMAZONDS,BBBDROP,BLK01,CSNSTORES,HDDS,JCPENNEY01,KOHLDSN,MACY02,OVERSTOCK01,TGTDVS</t>
  </si>
  <si>
    <t>2/14/2017</t>
  </si>
  <si>
    <t>MP40-2333</t>
  </si>
  <si>
    <t>AMAZON,AMAZONDS,BBBDROP,BIGLOTSDS,CSNSTORES,HDDS,JCPENNEY01,KOHLDSN,MACY02,OVERSTOCK01,TGTDVS</t>
  </si>
  <si>
    <t>MP40-5020</t>
  </si>
  <si>
    <t>White/Grey</t>
  </si>
  <si>
    <t>PF004008</t>
  </si>
  <si>
    <t>BBBDROP,BLK01,CSNSTORES,FINGERHUTDS,HDDS,KOHLDSN,MACY02,OVERSTOCK01,TGTDVS,WALMARTDS</t>
  </si>
  <si>
    <t>5/2/2018</t>
  </si>
  <si>
    <t>MP40-2010</t>
  </si>
  <si>
    <t>AMAZON,AMAZONDS,BBBDROP,BIGLOTSDS,BLK01,CSNSTORES,HDDS,HSNDS,JCPENNEY01,KOHLDSN,MACY02,OVERSTOCK01,TGTDVS,WALMARTDS</t>
  </si>
  <si>
    <t>MP40-2331</t>
  </si>
  <si>
    <t>AMAZON,AMAZONDS,ASHFURNDS,BBBDROP,BIGLOTSDS,CSNSTORES,HDDS,JCPENNEY01,KOHLDSN,MACY02,OVERSTOCK01,TGTDVS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</si>
  <si>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</si>
  <si>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</si>
  <si>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</si>
  <si>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</si>
  <si>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</si>
  <si>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</si>
  <si>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Shabby Chic</t>
  </si>
  <si>
    <t>2/28/2018</t>
  </si>
  <si>
    <t>MP40-5648</t>
  </si>
  <si>
    <t>AMAZON,AMAZONDS,ASHFURNDS,BBBDROP,BLK01,CSNSTORES,JCPENNEY01,KOHLDSN,OVERSTOCK01,TGTDVS,WALMARTDS</t>
  </si>
  <si>
    <t>6/14/2023</t>
  </si>
  <si>
    <t>MP40-5649</t>
  </si>
  <si>
    <t>MP40-6829</t>
  </si>
  <si>
    <t>Linen</t>
  </si>
  <si>
    <t>PP000857;PF004966</t>
  </si>
  <si>
    <t>11/21/2019</t>
  </si>
  <si>
    <t>2/21/2020</t>
  </si>
  <si>
    <t>MP40-6830</t>
  </si>
  <si>
    <t>MP40-6831</t>
  </si>
  <si>
    <t>AMAZON,AMAZONDS,ASHFURNDS,BBBDROP,BLK01,CSNSTORES,JCPENNEY01,KOHLDSN,MACY02,OVERSTOCK01,TGTDVS,Zulily</t>
  </si>
  <si>
    <t>2/17/2020</t>
  </si>
  <si>
    <t>MP40-5644</t>
  </si>
  <si>
    <t>PP000857;PF004199</t>
  </si>
  <si>
    <t>AMAZON,AMAZONDS,ASHFURNDS,BBBDROP,BLK01,CSNSTORES,DESINC,JCPENNEY01,KOHLDSN,MACY02,OVERSTOCK01,TGTDVS,WALMARTDS</t>
  </si>
  <si>
    <t>MP40-5646</t>
  </si>
  <si>
    <t>AMAZON,AMAZONDS,ASHFURNDS,BBBDROP,BLK01,CSNSTORES,JCPENNEY01,KOHLDSN,MACY02,OVERSTOCK01,TGTDVS,WALMARTDS,Zulily</t>
  </si>
  <si>
    <t>3/20/2023</t>
  </si>
  <si>
    <t>MP40-5651</t>
  </si>
  <si>
    <t>PP000857;PF004201</t>
  </si>
  <si>
    <t>3/20/2018</t>
  </si>
  <si>
    <t>AMAZON,AMAZONDS,ASHFURNDS,BBBDROP,BLK01,CSNSTORES,DESINC,JCPENNEY01,KOHLDSN,OVERSTOCK01,TGTDVS,WALMARTDS,Zulily</t>
  </si>
  <si>
    <t>MP40-5652</t>
  </si>
  <si>
    <t>AMAZON,AMAZONDS,ASHFURNDS,BBBDROP,BLK01,CSNSTORES,JCPENNEY01,KOHLDSN,OVERSTOCK01,TGTDVS,WALMARTDS,Zulily</t>
  </si>
  <si>
    <t>MP40-1594</t>
  </si>
  <si>
    <t>Gemma</t>
  </si>
  <si>
    <t>Kida</t>
  </si>
  <si>
    <t>Sheer Embroidered Window Curtain</t>
  </si>
  <si>
    <t>PF004018</t>
  </si>
  <si>
    <t>11/21/2022</t>
  </si>
  <si>
    <t>MP40-1595</t>
  </si>
  <si>
    <t>AMAZON,BBBDROP,BLK01,CSNSTORES,FINGERHUTDS,JCPENNEY01,KOHLDSN,MACY02,OVERSTOCK01,TGTDVS,Zulily</t>
  </si>
  <si>
    <t>11/22/2022</t>
  </si>
  <si>
    <t>MP40-7235</t>
  </si>
  <si>
    <t>Hayden</t>
  </si>
  <si>
    <t>Jasper</t>
  </si>
  <si>
    <t>Jacey</t>
  </si>
  <si>
    <t>Woven Faux Linen Striped Window Sheer</t>
  </si>
  <si>
    <t>Neutral</t>
  </si>
  <si>
    <t>PF005205;PP001544</t>
  </si>
  <si>
    <t>Stripe</t>
  </si>
  <si>
    <t>9/5/2020</t>
  </si>
  <si>
    <t>AMAZONDS,BLK01,CSNSTORES,JCPENNEY01,KOHLDSN,MACY02,OVERSTOCK01,TGTDVS</t>
  </si>
  <si>
    <t>3/9/2021</t>
  </si>
  <si>
    <t>5/18/2021</t>
  </si>
  <si>
    <t>MP40-4598</t>
  </si>
  <si>
    <t>PF003929</t>
  </si>
  <si>
    <t>AMAZON,BBBDROP,BEALLSDS,BLK01,CSNSTORES,DESINC,FINGERHUTDS,JCPENNEY01,KIRKLANDDS,KOHLDSN,MACY02,OVERSTOCK01,TGTDVS,WALMARTDS</t>
  </si>
  <si>
    <t>3/23/2023</t>
  </si>
  <si>
    <t>MP40-4599</t>
  </si>
  <si>
    <t>PF003929;PP001544</t>
  </si>
  <si>
    <t>AMAZON,AMAZONDS,ASHFURNDS,BBBDROP,BLK01,CSNSTORES,FINGERHUTDS,JCPENNEY01,KIRKLANDDS,KOHLDSN,OVERSTOCK01,TGTDVS</t>
  </si>
  <si>
    <t>4/5/2023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</si>
  <si>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</si>
  <si>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</si>
  <si>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</si>
  <si>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</si>
  <si>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</si>
  <si>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</si>
  <si>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</si>
  <si>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CSNSTORES,DESINC,KOHLDSN</t>
  </si>
  <si>
    <t>Open</t>
  </si>
  <si>
    <t>MP40-3779</t>
  </si>
  <si>
    <t>Eden</t>
  </si>
  <si>
    <t>Laya</t>
  </si>
  <si>
    <t>Zoe</t>
  </si>
  <si>
    <t>Fretwork Burnout Sheer Curtain Panel</t>
  </si>
  <si>
    <t>PF003819</t>
  </si>
  <si>
    <t>AMAZON,AMAZONDS,BBBDROP,BEALLSDS,BLK01,CSNSTORES,FINGERHUTDS,JCPENNEY01,KOHLDSN,MACY02,OVERSTOCK01,TGTDVS,WALMARTDS</t>
  </si>
  <si>
    <t>9/24/2018</t>
  </si>
  <si>
    <t>MP40-3780</t>
  </si>
  <si>
    <t>AMAZON,ASHFURNDS,BBBDROP,BEALLSDS,BLK01,CSNSTORES,FINGERHUTDS,JCPENNEY01,MACY02,OVERSTOCK01,TGTDVS</t>
  </si>
  <si>
    <t>MP40-3781</t>
  </si>
  <si>
    <t>MP40-3776</t>
  </si>
  <si>
    <t>PF003820</t>
  </si>
  <si>
    <t>AMAZON,AMAZONDS,BBBDROP,BLK01,CSNSTORES,FINGERHUTDS,JCPENNEY01,KOHLDSN,MACY02,OVERSTOCK01,TGTDVS,WALMARTDS</t>
  </si>
  <si>
    <t>10/8/2018</t>
  </si>
  <si>
    <t>MP40-3777</t>
  </si>
  <si>
    <t>9/12/2018</t>
  </si>
  <si>
    <t>MP40-3778</t>
  </si>
  <si>
    <t>AMAZON,BBBDROP,BLK01,CSNSTORES,FINGERHUTDS,JCPENNEY01,KOHLDSN,MACY02,OVERSTOCK01,TGTDVS,WALMARTDS</t>
  </si>
  <si>
    <t>MP40-3773</t>
  </si>
  <si>
    <t>PF003821</t>
  </si>
  <si>
    <t>AMAZON,AMAZONDS,BBBDROP,BEALLSDS,BLK01,CSNSTORES,DESINC,FINGERHUTDS,JCPENNEY01,KOHLDSN,MACY02,OVERSTOCK01,TGTDVS,WALMARTDS</t>
  </si>
  <si>
    <t>MP40-3774</t>
  </si>
  <si>
    <t>9/14/2018</t>
  </si>
  <si>
    <t>MP40-3775</t>
  </si>
  <si>
    <t>AMAZON,AMAZONDS,BBBDROP,BEALLSDS,BLK01,CSNSTORES,FINGERHUTDS,JCPENNEY01,KOHLDSN,MACY02,OVERSTOCK01,TGTDVS</t>
  </si>
  <si>
    <t>MP40-5468</t>
  </si>
  <si>
    <t>SHEER PAIR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</si>
  <si>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</si>
  <si>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</si>
  <si>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</si>
  <si>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</si>
  <si>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</si>
  <si>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</si>
  <si>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</si>
  <si>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AMAZON,AMAZONDS,ASHFURNDS,BBBDROP,BIGLOTSDS,BLK01,CSNSTORES,JCPENNEY01,KOHLDSN,MACY02,OVERSTOCK01,TGTDVS,WALMARTDS,Zulily</t>
  </si>
  <si>
    <t>MP40-5467</t>
  </si>
  <si>
    <t>2-PK 50x63"</t>
  </si>
  <si>
    <t>AMAZON,AMAZONDS,ASHFURNDS,BBBDROP,BEALLSDS,BIGLOTSDS,BLK01,CSNSTORES,JCPENNEY01,KOHLDSN,MACY02,OVERSTOCK01,TGTDVS,WALMARTDS</t>
  </si>
  <si>
    <t>8/23/2018</t>
  </si>
  <si>
    <t>MP40-5469</t>
  </si>
  <si>
    <t>2-PK 50x95"</t>
  </si>
  <si>
    <t>10/11/2018</t>
  </si>
  <si>
    <t>MP40-7372</t>
  </si>
  <si>
    <t>Twisted Tab Voile Sheer Window Pair</t>
  </si>
  <si>
    <t>PP001184;PF005382</t>
  </si>
  <si>
    <t>4/6/2021</t>
  </si>
  <si>
    <t>AMAZON,AMAZONDS,BBBDROP,BLK01,CSNSTORES,JCPENNEY01,KOHLDSN,MACY02,OVERSTOCK01</t>
  </si>
  <si>
    <t>2/1/2023</t>
  </si>
  <si>
    <t>MP40-7371</t>
  </si>
  <si>
    <t>AMAZON,AMAZONDS,CSNSTORES,JCPENNEY01,KOHLDSN,MACY02,OVERSTOCK01</t>
  </si>
  <si>
    <t>2/28/2023</t>
  </si>
  <si>
    <t>MP40-7373</t>
  </si>
  <si>
    <t>MP40-6349</t>
  </si>
  <si>
    <t>Light Grey</t>
  </si>
  <si>
    <t>PF004682;PP001184</t>
  </si>
  <si>
    <t>2</t>
  </si>
  <si>
    <t>5/31/2019</t>
  </si>
  <si>
    <t>AMAZON,AMAZONDS,ASHFURNDS,BBBDROP,BIGLOTSDS,BLK01,CSNSTORES,JCPENNEY01,KOHLDSN,MACY02,OVERSTOCK01,Zulily</t>
  </si>
  <si>
    <t>MP40-6348</t>
  </si>
  <si>
    <t>AMAZON,AMAZONDS,BBBDROP,BIGLOTSDS,BLK01,CSNSTORES,JCPENNEY01,KOHLDSN,MACY02,OVERSTOCK01,WALMARTDS,Zulily</t>
  </si>
  <si>
    <t>MP40-6350</t>
  </si>
  <si>
    <t>MP40-4524</t>
  </si>
  <si>
    <t>Harper</t>
  </si>
  <si>
    <t>Kaylee</t>
  </si>
  <si>
    <t>Solid Crushed Curtain Panel Pair</t>
  </si>
  <si>
    <t>Cream</t>
  </si>
  <si>
    <t>PF003909</t>
  </si>
  <si>
    <t>7/14/2017</t>
  </si>
  <si>
    <t>AMAZON,BBBDROP,BIGLOTSDS,BLK01,CSNSTORES,KOHLDSN,MACY02,OVERSTOCK01,TGTDVS</t>
  </si>
  <si>
    <t>11/27/2017</t>
  </si>
  <si>
    <t>12/20/2017</t>
  </si>
  <si>
    <t>MP40-4525</t>
  </si>
  <si>
    <t>1/25/2018</t>
  </si>
  <si>
    <t>MP40-4526</t>
  </si>
  <si>
    <t>42x95"</t>
  </si>
  <si>
    <t>AMAZON,ASHFURNDS,BBBDROP,BIGLOTSDS,BLK01,CSNSTORES,JCPENNEY01,KOHLDSN,MACY02,OVERSTOCK01,TGTDVS</t>
  </si>
  <si>
    <t>1/29/2018</t>
  </si>
  <si>
    <t>MP40-4527</t>
  </si>
  <si>
    <t>Solid Crushed Window Panel Pair</t>
  </si>
  <si>
    <t>42x108"</t>
  </si>
  <si>
    <t>AMAZON,BBBDROP,BLK01,CSNSTORES,FINGERHUTDS,KOHLDSN,MACY02,OVERSTOCK01,TGTDVS</t>
  </si>
  <si>
    <t>6/12/2018</t>
  </si>
  <si>
    <t>MP40-4496</t>
  </si>
  <si>
    <t>PF003913</t>
  </si>
  <si>
    <t>BBBDROP,BLK01,CSNSTORES,FINGERHUTDS,KOHLDSN,MACY02,OVERSTOCK01,TGTDVS</t>
  </si>
  <si>
    <t>1/2/2018</t>
  </si>
  <si>
    <t>MP40-4497</t>
  </si>
  <si>
    <t>12/28/2017</t>
  </si>
  <si>
    <t>MP40-4498</t>
  </si>
  <si>
    <t>AMAZON,BBBDROP,BLK01,CSNSTORES,DESINC,JCPENNEY01,KOHLDSN,MACY02,OVERSTOCK01,TGTDVS,WALMARTDS</t>
  </si>
  <si>
    <t>12/22/2017</t>
  </si>
  <si>
    <t>MP40-4500</t>
  </si>
  <si>
    <t>PF003912</t>
  </si>
  <si>
    <t>BBBDROP,BIGLOTSDS,KOHLDSN,MACY02,OVERSTOCK01,TGTDVS</t>
  </si>
  <si>
    <t>1/14/2018</t>
  </si>
  <si>
    <t>MP40-4501</t>
  </si>
  <si>
    <t>2/13/2018</t>
  </si>
  <si>
    <t>MP40-4502</t>
  </si>
  <si>
    <t>MP40-4484</t>
  </si>
  <si>
    <t>PF003910</t>
  </si>
  <si>
    <t>AMAZON,BBBDROP,BIGLOTSDS,BLK01,CSNSTORES,FINGERHUTDS,KOHLDSN,MACY02,OVERSTOCK01,TGTDVS</t>
  </si>
  <si>
    <t>3/22/2018</t>
  </si>
  <si>
    <t>MP40-4485</t>
  </si>
  <si>
    <t>AMAZON,AMAZONDS,BBBDROP,BIGLOTSDS,BLK01,CSNSTORES,FINGERHUTDS,JCPENNEY01,KOHLDSN,MACY02,OVERSTOCK01,TGTDVS,WALMARTDS</t>
  </si>
  <si>
    <t>MP40-4486</t>
  </si>
  <si>
    <t>7/17/2018</t>
  </si>
  <si>
    <t>MP40-4488</t>
  </si>
  <si>
    <t>PF003908</t>
  </si>
  <si>
    <t>MP40-4489</t>
  </si>
  <si>
    <t>1/1/2018</t>
  </si>
  <si>
    <t>MP40-4490</t>
  </si>
  <si>
    <t>AMAZON,AMAZONDS,BBBDROP,BIGLOTSDS,CSNSTORES,JCPENNEY01,KOHLDSN,MACY02,OVERSTOCK01,TGTDVS</t>
  </si>
  <si>
    <t>12/14/2017</t>
  </si>
  <si>
    <t>MP40-4492</t>
  </si>
  <si>
    <t>PF003911</t>
  </si>
  <si>
    <t>BBBDROP,BIGLOTSDS,CSNSTORES,FINGERHUTDS,KOHLDSN,MACY02,OVERSTOCK01,TGTDVS</t>
  </si>
  <si>
    <t>7/12/2018</t>
  </si>
  <si>
    <t>MP40-4493</t>
  </si>
  <si>
    <t>12/30/2017</t>
  </si>
  <si>
    <t>MP40-4494</t>
  </si>
  <si>
    <t>AMAZON,AMAZONDS,BBBDROP,BIGLOTSDS,BLK01,CSNSTORES,JCPENNEY01,KOHLDSN,MACY02,OVERSTOCK01,TGTDVS</t>
  </si>
  <si>
    <t>1/31/2018</t>
  </si>
  <si>
    <t>MP40-4495</t>
  </si>
  <si>
    <t>CSNSTORES,MACY02,OVERSTOCK01,TGTDVS</t>
  </si>
  <si>
    <t>12/21/2017</t>
  </si>
  <si>
    <t>MP40-7933</t>
  </si>
  <si>
    <t>Aida</t>
  </si>
  <si>
    <t>Calista</t>
  </si>
  <si>
    <t>Kaley</t>
  </si>
  <si>
    <t>Yarn Dye Sheer Curtain Panel Pair</t>
  </si>
  <si>
    <t>2-PK 37x84"</t>
  </si>
  <si>
    <t>PP001775;PF005722</t>
  </si>
  <si>
    <t>JCPENNEY01,KOHLDSN,MACY02</t>
  </si>
  <si>
    <t>11/28/2022</t>
  </si>
  <si>
    <t>MP40-7934</t>
  </si>
  <si>
    <t>2-PK 37x95"</t>
  </si>
  <si>
    <t>CSNSTORES,JCPENNEY01,KOHLDSN,MACY02,OVERSTOCK01</t>
  </si>
  <si>
    <t>11/25/2022</t>
  </si>
  <si>
    <t>MP40-7935</t>
  </si>
  <si>
    <t>PP001775;PF005723</t>
  </si>
  <si>
    <t>CSNSTORES,JCPENNEY01,KOHLDSN,MACY02</t>
  </si>
  <si>
    <t>11/2/2022</t>
  </si>
  <si>
    <t>MP40-8100</t>
  </si>
  <si>
    <t>Yara</t>
  </si>
  <si>
    <t>Tulia</t>
  </si>
  <si>
    <t>Mar</t>
  </si>
  <si>
    <t>Botanical Printed Texture Sheer Window Pair</t>
  </si>
  <si>
    <t>PP001814;PF005822</t>
  </si>
  <si>
    <t>9/22/2022</t>
  </si>
  <si>
    <t>MP40-8101</t>
  </si>
  <si>
    <t>MP40-8104</t>
  </si>
  <si>
    <t>PP001814;PF005824</t>
  </si>
  <si>
    <t>BBBDROP,CSNSTORES,JCPENNEY01,KOHLDSN,MACY02,OVERSTOCK01</t>
  </si>
  <si>
    <t>MP40-8105</t>
  </si>
  <si>
    <t>MP40-8102</t>
  </si>
  <si>
    <t>PP001814;PF005823</t>
  </si>
  <si>
    <t>MP40-8103</t>
  </si>
  <si>
    <t>MP40-4896</t>
  </si>
  <si>
    <t>PANEL PAIR</t>
  </si>
  <si>
    <t>Charlotte</t>
  </si>
  <si>
    <t>Jacquard Curtain Panel Pair</t>
  </si>
  <si>
    <t>PF003394</t>
  </si>
  <si>
    <t>8/16/2017</t>
  </si>
  <si>
    <t>AMAZON,AMAZONDS,ASHFURNDS,BBBDROP,BIGLOTSDS,BLK01,CSNSTORES,FINGERHUTDS,HDDS,JCPENNEY01,KOHLDSN,MACY02,OVERSTOCK01,TGTDVS,WALMARTDS</t>
  </si>
  <si>
    <t>5/17/2018</t>
  </si>
  <si>
    <t>MP40-4897</t>
  </si>
  <si>
    <t>MP40-4898</t>
  </si>
  <si>
    <t>6/11/2018</t>
  </si>
  <si>
    <t>MP40-692</t>
  </si>
  <si>
    <t>AMAZON,AMAZONDS,ASHFURNDS,BBBDROP,BEALLSDS,BIGLOTSDS,BLK01,CSNSTORES,FINGERHUTDS,HDDS,HSNDS,JCPENNEY01,KOHLDSN,MACY02,OVERSTOCK01,TGTDVS,WALMARTDS</t>
  </si>
  <si>
    <t>MP40-693</t>
  </si>
  <si>
    <t>6/14/2018</t>
  </si>
  <si>
    <t>MP40-2678</t>
  </si>
  <si>
    <t>AMAZON,BBBDROP,CSNSTORES,HDDS,JCPENNEY01,KOHLDSN,MACY02,OVERSTOCK01,TGTDVS</t>
  </si>
  <si>
    <t>MP40-2712</t>
  </si>
  <si>
    <t>Burgundy</t>
  </si>
  <si>
    <t>PF003393;PP000381</t>
  </si>
  <si>
    <t>AMAZON,AMAZONDS,ASHFURNDS,BBBDROP,BIGLOTSDS,BLK01,CSNSTORES,HDDS,JCPENNEY01,KOHLDSN,MACY02,OVERSTOCK01,TGTDVS,WALMARTDS</t>
  </si>
  <si>
    <t>MP40-2713</t>
  </si>
  <si>
    <t>MP40-2680</t>
  </si>
  <si>
    <t>AMAZON,ASHFURNDS,BBBDROP,BLK01,CSNSTORES,HDDS,JCPENNEY01,KOHLDSN,MACY02,OVERSTOCK01</t>
  </si>
  <si>
    <t>6/26/2018</t>
  </si>
  <si>
    <t>WIN40-091</t>
  </si>
  <si>
    <t>AMAZON,AMAZONDS,BBBDROP,BIGLOTSDS,BLK01,CSNSTORES,DESINC,FINGERHUTDS,HDDS,HSNDS,JCPENNEY01,KOHLDSN,MACY02,OVERSTOCK01,TGTDVS</t>
  </si>
  <si>
    <t>6/21/2018</t>
  </si>
  <si>
    <t>MP40-715</t>
  </si>
  <si>
    <t>AMAZON,ASHFURNDS,BBBDROP,BIGLOTSDS,BLK01,CSNSTORES,HDDS,HSNDS,JCPENNEY01,KOHLDSN,MACY02,OVERSTOCK01,TGTDVS</t>
  </si>
  <si>
    <t>MP40-2679</t>
  </si>
  <si>
    <t>AMAZON,BBBDROP,BLK01,CSNSTORES,HDDS,HSNDS,JCPENNEY01,KOHLDSN,MACY02,TGTDVS,WALMARTDS</t>
  </si>
  <si>
    <t>MP40-7926</t>
  </si>
  <si>
    <t>Basketweave Room Darkening Curtain Panel Pair</t>
  </si>
  <si>
    <t>2-PK 40x84"</t>
  </si>
  <si>
    <t>AMAZONDS,JCPENNEY01,KOHLDSN,MACY02,OVERSTOCK01</t>
  </si>
  <si>
    <t>MP40-7924</t>
  </si>
  <si>
    <t>5/11/2022</t>
  </si>
  <si>
    <t>MP40-7922</t>
  </si>
  <si>
    <t>7/18/2022</t>
  </si>
  <si>
    <t>MP40-7925</t>
  </si>
  <si>
    <t>MP40-7923</t>
  </si>
  <si>
    <t>MP40-7983</t>
  </si>
  <si>
    <t>Linen Blend Light Filtering Curtain Panel Pair</t>
  </si>
  <si>
    <t>2-PK 52x84"</t>
  </si>
  <si>
    <t>8/12/2022</t>
  </si>
  <si>
    <t>MP40-7985</t>
  </si>
  <si>
    <t>MP40-7984</t>
  </si>
  <si>
    <t>11/26/2022</t>
  </si>
  <si>
    <t>MP40-8258</t>
  </si>
  <si>
    <t>Burnout Printed Curtain Panel Pair</t>
  </si>
  <si>
    <t>MP40-8257</t>
  </si>
  <si>
    <t>WIN40-092</t>
  </si>
  <si>
    <t>Dune</t>
  </si>
  <si>
    <t>Connell</t>
  </si>
  <si>
    <t>Window Curtain Pair</t>
  </si>
  <si>
    <t>PF003705;PP000413</t>
  </si>
  <si>
    <t>BBBDROP,BLK01,FINGERHUTDS,HSNDS,KOHLDSN,MACY02,OVERSTOCK01,TGTDVS</t>
  </si>
  <si>
    <t>4/4/2017</t>
  </si>
  <si>
    <t>WIN41-057</t>
  </si>
  <si>
    <t>AMAZON,BBBDROP,BLK01,FINGERHUTDS,HSNDS,KOHLDSN,MACY02,OVERSTOCK01</t>
  </si>
  <si>
    <t>WIN40-094</t>
  </si>
  <si>
    <t>8/22/2017</t>
  </si>
  <si>
    <t>WIN40-093</t>
  </si>
  <si>
    <t>Meyers</t>
  </si>
  <si>
    <t>PP000413</t>
  </si>
  <si>
    <t>BBBDROP,BLK01,FINGERHUTDS,HSNDS,KOHLDSN,MACY02,OVERSTOCK01,TGTDVS,WALMARTDS</t>
  </si>
  <si>
    <t>MP40-8259</t>
  </si>
  <si>
    <t>Twist Tab Lined Window Curtain Panel Pair</t>
  </si>
  <si>
    <t>9/27/2023</t>
  </si>
  <si>
    <t>MP40-5617</t>
  </si>
  <si>
    <t>Hayes</t>
  </si>
  <si>
    <t>Jax</t>
  </si>
  <si>
    <t>Ren</t>
  </si>
  <si>
    <t>Cotton Duck Printed Grommet Window Curtain Set of 2</t>
  </si>
  <si>
    <t>PP000852;PF004191</t>
  </si>
  <si>
    <t>Cotton</t>
  </si>
  <si>
    <t>2/20/2018</t>
  </si>
  <si>
    <t>AMAZON,BBBDROP,BLK01,CSNSTORES,JCPENNEY01,KIRKLANDDS,KOHLDSN,OVERSTOCK01,WALMARTDS</t>
  </si>
  <si>
    <t>MP40-4512</t>
  </si>
  <si>
    <t>WINDOW SCARF</t>
  </si>
  <si>
    <t>Solid Crushed Scarf Sheer</t>
  </si>
  <si>
    <t>42x144"</t>
  </si>
  <si>
    <t>MP40-4513</t>
  </si>
  <si>
    <t>42x216"</t>
  </si>
  <si>
    <t>MP40-4504</t>
  </si>
  <si>
    <t>MP40-4505</t>
  </si>
  <si>
    <t>MP40-4528</t>
  </si>
  <si>
    <t>MP40-4529</t>
  </si>
  <si>
    <t>AMAZON,BBBDROP,BIGLOTSDS,CSNSTORES,FINGERHUTDS,JCPENNEY01,KOHLDSN,MACY02,OVERSTOCK01,TGTDVS,WALMARTDS</t>
  </si>
  <si>
    <t>4/20/2018</t>
  </si>
  <si>
    <t>MP40-4506</t>
  </si>
  <si>
    <t>AMAZON,BBBDROP,BIGLOTSDS,BLK01,CSNSTORES,FINGERHUTDS,JCPENNEY01,KOHLDSN,MACY02,OVERSTOCK01,TGTDVS,WALMARTDS</t>
  </si>
  <si>
    <t>MP40-4507</t>
  </si>
  <si>
    <t>MP40-4510</t>
  </si>
  <si>
    <t>3/26/2018</t>
  </si>
  <si>
    <t>MP40-4511</t>
  </si>
  <si>
    <t>MP40-4508</t>
  </si>
  <si>
    <t>AMAZON,AMAZONDS,BBBDROP,BIGLOTSDS,BLK01,CSNSTORES,DESINC,JCPENNEY01,KOHLDSN,MACY02,OVERSTOCK01,TGTDVS</t>
  </si>
  <si>
    <t>MP40-4509</t>
  </si>
  <si>
    <t>AMAZON,AMAZONDS,BBBDROP,BLK01,CSNSTORES,DESINC,JCPENNEY01,KOHLDSN,MACY02,OVERSTOCK01,TGTDVS</t>
  </si>
  <si>
    <t>MP40-4946</t>
  </si>
  <si>
    <t>Diamond Sheer Embroidered Window Scarf</t>
  </si>
  <si>
    <t>50x144"</t>
  </si>
  <si>
    <t>MP40-4947</t>
  </si>
  <si>
    <t>50x216"</t>
  </si>
  <si>
    <t>MP40-4942</t>
  </si>
  <si>
    <t>AMAZON,AMAZONDS,BBBDROP,BIGLOTSDS,BLK01,CSNSTORES,DESINC,FINGERHUTDS,JCPENNEY01,KOHLDSN,MACY02,OVERSTOCK01,TGTDVS,WALMARTDS</t>
  </si>
  <si>
    <t>MP40-4943</t>
  </si>
  <si>
    <t>MP40-4934</t>
  </si>
  <si>
    <t>AMAZON,ASHFURNDS,BBBDROP,BIGLOTSDS,BLK01,CSNSTORES,FINGERHUTDS,JCPENNEY01,KOHLDSN,MACY02,OVERSTOCK01,TGTDVS,WALMARTDS,Zulily</t>
  </si>
  <si>
    <t>MP40-4935</t>
  </si>
  <si>
    <t>AMAZON,AMAZONDS,BBBDROP,BLK01,CSNSTORES,DESINC,JCPENNEY01,KOHLDSN,MACY02,OVERSTOCK01,TGTDVS,WALMARTDS</t>
  </si>
  <si>
    <t>MP40-4938</t>
  </si>
  <si>
    <t>MP40-4939</t>
  </si>
  <si>
    <t>AMAZON,AMAZONDS,ASHFURNDS,BBBDROP,BLK01,CSNSTORES,DESINC,JCPENNEY01,KOHLDSN,MACY02,OVERSTOCK01,TGTDVS,WALMARTDS,Zulily</t>
  </si>
  <si>
    <t>MP40-6624</t>
  </si>
  <si>
    <t>Printed Floral Voile Sheer Scarf</t>
  </si>
  <si>
    <t>MP40-6625</t>
  </si>
  <si>
    <t>1/24/2020</t>
  </si>
  <si>
    <t>MP40-6777</t>
  </si>
  <si>
    <t>3/26/2020</t>
  </si>
  <si>
    <t>MP40-6778</t>
  </si>
  <si>
    <t>1/21/2020</t>
  </si>
  <si>
    <t>MP40-6618</t>
  </si>
  <si>
    <t>MP40-6619</t>
  </si>
  <si>
    <t>MP40-8121</t>
  </si>
  <si>
    <t>10/3/2023</t>
  </si>
  <si>
    <t>MP40-8122</t>
  </si>
  <si>
    <t>8/24/2023</t>
  </si>
  <si>
    <t>MP40-3939</t>
  </si>
  <si>
    <t>OUTDOOR PANEL</t>
  </si>
  <si>
    <t>Pacifica</t>
  </si>
  <si>
    <t>Mission</t>
  </si>
  <si>
    <t>Grove</t>
  </si>
  <si>
    <t>Solid 3M Scotchgard Outdoor Panel</t>
  </si>
  <si>
    <t>54x84"</t>
  </si>
  <si>
    <t>PF003791</t>
  </si>
  <si>
    <t>AMAZON,BBBDROP,BEALLSDS,CSNSTORES,JCPENNEY01,KOHLDSN,MACY02,OVERSTOCK01,Zulily</t>
  </si>
  <si>
    <t>7/30/2018</t>
  </si>
  <si>
    <t>4/26/2019</t>
  </si>
  <si>
    <t>MP40-3940</t>
  </si>
  <si>
    <t>54x95"</t>
  </si>
  <si>
    <t>AMAZON,BBBDROP,BLK01,CSNSTORES,JCPENNEY01,KOHLDSN,MACY02,OVERSTOCK01,WALMARTDS</t>
  </si>
  <si>
    <t>MP40-5729</t>
  </si>
  <si>
    <t>54x108"</t>
  </si>
  <si>
    <t>PF003791;PP000479</t>
  </si>
  <si>
    <t>BBBDROP,BLK01,CSNSTORES,DESINC,KOHLDSN,MACY02,OVERSTOCK01</t>
  </si>
  <si>
    <t>5/6/2019</t>
  </si>
  <si>
    <t>MP40-2894</t>
  </si>
  <si>
    <t>PF003774;PP000479</t>
  </si>
  <si>
    <t>ASHFURNDS,BBBDROP,BEALLSDS,CSNSTORES,HSNDS,KOHLDSN,MACY02,OVERSTOCK01,TGTDVS,Zulily</t>
  </si>
  <si>
    <t>MP40-2895</t>
  </si>
  <si>
    <t>JCPENNEY01,KOHLDSN,MACY02,OVERSTOCK01</t>
  </si>
  <si>
    <t>4/17/2020</t>
  </si>
  <si>
    <t>MP40-2892</t>
  </si>
  <si>
    <t>PF003773;PP000479</t>
  </si>
  <si>
    <t>BBBDROP,BEALLSDS,HSNDS,KOHLDSN,MACY02,OVERSTOCK01</t>
  </si>
  <si>
    <t>10/25/2019</t>
  </si>
  <si>
    <t>MP40-2893</t>
  </si>
  <si>
    <t>BBBDROP,CSNSTORES,MACY02,OVERSTOCK01</t>
  </si>
  <si>
    <t>MP40-4105</t>
  </si>
  <si>
    <t>Everett</t>
  </si>
  <si>
    <t>Navio</t>
  </si>
  <si>
    <t>Matira</t>
  </si>
  <si>
    <t>Printed Palm 3M Scotchgard Outdoor Panel</t>
  </si>
  <si>
    <t>PF003782</t>
  </si>
  <si>
    <t>AMAZON,BBBDROP,BLK01,CSNSTORES,DESINC,KOHLDSN,MACY02,OVERSTOCK01</t>
  </si>
  <si>
    <t>9/5/2018</t>
  </si>
  <si>
    <t>MP40-5730</t>
  </si>
  <si>
    <t>Newport</t>
  </si>
  <si>
    <t>Bolinas</t>
  </si>
  <si>
    <t>Ventura</t>
  </si>
  <si>
    <t>Printed Stripe 3M Scotchgard Outdoor Panel</t>
  </si>
  <si>
    <t>PF003771;PP000467</t>
  </si>
  <si>
    <t>CSNSTORES,KOHLDSN,MACY02,OVERSTOCK01</t>
  </si>
  <si>
    <t>3/18/2019</t>
  </si>
  <si>
    <t>MP40-2910</t>
  </si>
  <si>
    <t>PF003772;PP000467</t>
  </si>
  <si>
    <t>BBBDROP,CSNSTORES,HSNDS,KOHLDSN,MACY02,OVERSTOCK01</t>
  </si>
  <si>
    <t>12/7/2019</t>
  </si>
  <si>
    <t>MP40-3950</t>
  </si>
  <si>
    <t>PF003788</t>
  </si>
  <si>
    <t>AMAZON,BBBDROP,BLK01,CSNSTORES,KOHLDSN,MACY02,OVERSTOCK01,TGTDVS,WALMARTDS</t>
  </si>
  <si>
    <t>8/21/2018</t>
  </si>
  <si>
    <t>MP40-5732</t>
  </si>
  <si>
    <t>PF003788;PP000467</t>
  </si>
  <si>
    <t>AMAZON,AMAZONDS,BBBDROP,BLK01,CSNSTORES,KOHLDSN,MACY02,OVERSTOCK01,WALMARTDS</t>
  </si>
  <si>
    <t>7/17/2019</t>
  </si>
  <si>
    <t>MP41-4955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</si>
  <si>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</si>
  <si>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</si>
  <si>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</si>
  <si>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</si>
  <si>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</si>
  <si>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</si>
  <si>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</si>
  <si>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AMAZON,ASHFURNDS,BBBDROP,BIGLOTSDS,BLK01,CSNSTORES,FINGERHUTDS,JCPENNEY01,KOHLDSN,MACY02,OVERSTOCK01,TGTDVS,WALMARTDS</t>
  </si>
  <si>
    <t>MP41-4952</t>
  </si>
  <si>
    <t>MP41-7410</t>
  </si>
  <si>
    <t>Polyester</t>
  </si>
  <si>
    <t>4/20/2021</t>
  </si>
  <si>
    <t>AMAZON,BLK01,CSNSTORES,JCPENNEY01,KOHLDSN,MACY02,OVERSTOCK01</t>
  </si>
  <si>
    <t>MP41-4949</t>
  </si>
  <si>
    <t>MP41-4961</t>
  </si>
  <si>
    <t>4/19/2018</t>
  </si>
  <si>
    <t>MP41-4958</t>
  </si>
  <si>
    <t>MP41-7411</t>
  </si>
  <si>
    <t>MP41-7409</t>
  </si>
  <si>
    <t>BBBDROP,BLK01,CSNSTORES,JCPENNEY01,KOHLDSN,MACY02</t>
  </si>
  <si>
    <t>MP41-4569</t>
  </si>
  <si>
    <t>Faux Silk Embroidered Window Valance</t>
  </si>
  <si>
    <t>50x18"</t>
  </si>
  <si>
    <t>6/14/2017</t>
  </si>
  <si>
    <t>AMAZON,AMAZONDS,BBBDROP,BEALLSDS,BLK01,CSNSTORES,JCPENNEY01,KOHLDSN,MACY02,OVERSTOCK01,TGTDVS,Zulily</t>
  </si>
  <si>
    <t>5/18/2018</t>
  </si>
  <si>
    <t>MP41-4573</t>
  </si>
  <si>
    <t>AMAZON,AMAZONDS,BBBDROP,BLK01,CSNSTORES,DESINC,JCPENNEY01,KOHLDSN,MACY02,OVERSTOCK01,TGTDVS,WALMARTDS,Zulily</t>
  </si>
  <si>
    <t>MP41-4574</t>
  </si>
  <si>
    <t>6/29/2017</t>
  </si>
  <si>
    <t>AMAZON,ASHFURNDS,BBBDROP,BEALLSDS,BLK01,CSNSTORES,DESINC,JCPENNEY01,KOHLDSN,MACY02,OVERSTOCK01,TGTDVS,WALMARTDS</t>
  </si>
  <si>
    <t>MP41-4572</t>
  </si>
  <si>
    <t>MP41-4570</t>
  </si>
  <si>
    <t>AMAZON,BBBDROP,BEALLSDS,BLK01,CSNSTORES,JCPENNEY01,KOHLDSN,MACY02,OVERSTOCK01,TGTDVS,WALMARTDS</t>
  </si>
  <si>
    <t>5/22/2018</t>
  </si>
  <si>
    <t>MP41-4571</t>
  </si>
  <si>
    <t>AMAZON,BBBDROP,BEALLSDS,BLK01,CSNSTORES,DESINC,JCPENNEY01,KOHLDSN,MACY02,OVERSTOCK01,TGTDVS,WALMARTDS</t>
  </si>
  <si>
    <t>4/25/2018</t>
  </si>
  <si>
    <t>MP41-7425</t>
  </si>
  <si>
    <t>Jacquard Window Rod Pocket Valance With Beads</t>
  </si>
  <si>
    <t>PF003394;PP000381</t>
  </si>
  <si>
    <t>AMAZON,CSNSTORES,DESINC,JCPENNEY01,KOHLDSN,MACY02,OVERSTOCK01,TGTDVS</t>
  </si>
  <si>
    <t>MP41-4899</t>
  </si>
  <si>
    <t>Jacquard Window Valance</t>
  </si>
  <si>
    <t>9/15/2017</t>
  </si>
  <si>
    <t>AMAZON,AMAZONDS,AMERSIGNDS,ASHFURNDS,BBBDROP,BEALLSDS,BLK01,CSNSTORES,FINGERHUTDS,JCPENNEY01,KOHLDSN,MACY02,OVERSTOCK01,TGTDVS</t>
  </si>
  <si>
    <t>MP41-1606</t>
  </si>
  <si>
    <t>MP41-4989</t>
  </si>
  <si>
    <t>7/4/2018</t>
  </si>
  <si>
    <t>AMAZON,AMERSIGNDS,ASHFURNDS,BBBDROP,BIGLOTSDS,BLK01,CSNSTORES,DESINC,JCPENNEY01,KOHLDSN,MACY02,OVERSTOCK01,TGTDVS</t>
  </si>
  <si>
    <t>MP41-2714</t>
  </si>
  <si>
    <t>AMAZON,AMAZONDS,BBBDROP,BEALLSDS,BLK01,CSNSTORES,JCPENNEY01,KOHLDSN,MACY02,OVERSTOCK01,TGTDVS,WALMARTDS</t>
  </si>
  <si>
    <t>MP41-4991</t>
  </si>
  <si>
    <t>8/28/2018</t>
  </si>
  <si>
    <t>MP41-1456</t>
  </si>
  <si>
    <t>AMAZON,AMAZONDS,BBBDROP,BEALLSDS,BLK01,CSNSTORES,DESINC,FINGERHUTDS,HSNDS,JCPENNEY01,KOHLDSN,MACY02,OVERSTOCK01,TGTDVS,WALMARTDS</t>
  </si>
  <si>
    <t>4/26/2018</t>
  </si>
  <si>
    <t>MP41-4990</t>
  </si>
  <si>
    <t>9/19/2018</t>
  </si>
  <si>
    <t>MP41-4450</t>
  </si>
  <si>
    <t>Lightweight Faux Silk Valance With Beads</t>
  </si>
  <si>
    <t>50x26"</t>
  </si>
  <si>
    <t>6/2/2017</t>
  </si>
  <si>
    <t>MP41-4454</t>
  </si>
  <si>
    <t>AMAZON,AMAZONDS,AMERSIGNDS,ASHFURNDS,BBBDROP,BEALLSDS,BLK01,CSNSTORES,FINGERHUTDS,JCPENNEY01,KOHLDSN,MACY02,OVERSTOCK01,TGTDVS,WALMARTDS</t>
  </si>
  <si>
    <t>MP41-6560</t>
  </si>
  <si>
    <t>MP41-4453</t>
  </si>
  <si>
    <t>AMAZON,AMAZONDS,AMERSIGNDS,BBBDROP,BEALLSDS,BLK01,CSNSTORES,FINGERHUTDS,JCPENNEY01,KOHLDSN,MACY02,OVERSTOCK01,TGTDVS,Zulily</t>
  </si>
  <si>
    <t>MP41-4455</t>
  </si>
  <si>
    <t>MP41-6325</t>
  </si>
  <si>
    <t>5/8/2024</t>
  </si>
  <si>
    <t>MP41-4452</t>
  </si>
  <si>
    <t>MP41-4456</t>
  </si>
  <si>
    <t>AMAZON,AMAZONDS,BBBDROP,BLK01,CSNSTORES,DESINC,FINGERHUTDS,JCPENNEY01,KOHLDSN,MACY02,OVERSTOCK01,TGTDVS</t>
  </si>
  <si>
    <t>MP41-6320</t>
  </si>
  <si>
    <t>MP41-4476</t>
  </si>
  <si>
    <t>5/31/2018</t>
  </si>
  <si>
    <t>MP41-6330</t>
  </si>
  <si>
    <t>AMAZON,ASHFURNDS,BBBDROP,CSNSTORES,FINGERHUTDS,JCPENNEY01,KOHLDSN,MACY02,OVERSTOCK01,TGTDVS,WALMARTDS</t>
  </si>
  <si>
    <t>MP41-4451</t>
  </si>
  <si>
    <t>AMAZON,AMAZONDS,ASHFURNDS,BBBDROP,BLK01,CSNSTORES,DESINC,FINGERHUTDS,JCPENNEY01,KOHLDSN,MACY02,OVERSTOCK01</t>
  </si>
  <si>
    <t>MP41-4944</t>
  </si>
  <si>
    <t>Diamond Sheer Embroidered Ascot Valance</t>
  </si>
  <si>
    <t>50x22"</t>
  </si>
  <si>
    <t>BBBDROP,BIGLOTSDS,BLK01,CSNSTORES,HDDS,KOHLDSN,MACY02,TGTDVS,WALMARTDS</t>
  </si>
  <si>
    <t>MP41-4945</t>
  </si>
  <si>
    <t>Diamond Sheer Embroidered Waterfall Valance</t>
  </si>
  <si>
    <t>AMAZON,AMAZONDS,ASHFURNDS,BBBDROP,BEALLSDS,BIGLOTSDS,BLK01,CSNSTORES,DESINC,JCPENNEY01,KOHLDSN,MACY02,OVERSTOCK01,TGTDVS,WALMARTDS</t>
  </si>
  <si>
    <t>MP41-4940</t>
  </si>
  <si>
    <t>AMAZON,BBBDROP,BIGLOTSDS,BLK01,CSNSTORES,FINGERHUTDS,HDDS,KOHLDSN,MACY02,OVERSTOCK01,TGTDVS,WALMARTDS</t>
  </si>
  <si>
    <t>MP41-4941</t>
  </si>
  <si>
    <t>AMAZON,ASHFURNDS,BBBDROP,BIGLOTSDS,BLK01,CSNSTORES,JCPENNEY01,KOHLDSN,MACY02,OVERSTOCK01,TGTDVS,WALMARTDS</t>
  </si>
  <si>
    <t>MP41-4937</t>
  </si>
  <si>
    <t>MP41-4932</t>
  </si>
  <si>
    <t>AMAZON,AMAZONDS,BBBDROP,BIGLOTSDS,BLK01,CSNSTORES,HDDS,KOHLDSN,MACY02,OVERSTOCK01,TGTDVS,WALMARTDS</t>
  </si>
  <si>
    <t>MP41-4933</t>
  </si>
  <si>
    <t>MP41-3601</t>
  </si>
  <si>
    <t>Fretwork Print Grommet Top Window Valance</t>
  </si>
  <si>
    <t>AMAZON,AMAZONDS,BBBDROP,BEALLSDS,BIGLOTSDS,BLK01,CSNSTORES,JCPENNEY01,KOHLDSN,MACY02,OVERSTOCK01,TGTDVS,WALMARTDS</t>
  </si>
  <si>
    <t>MP41-2020</t>
  </si>
  <si>
    <t>AMAZON,AMAZONDS,ASHFURNDS,BBBDROP,BEALLSDS,BIGLOTSDS,BLK01,CSNSTORES,FINGERHUTDS,HSNDS,JCPENNEY01,KOHLDSN,MACY02,OVERSTOCK01,TGTDVS,WALMARTDS</t>
  </si>
  <si>
    <t>MP41-2021</t>
  </si>
  <si>
    <t>MP41-2405</t>
  </si>
  <si>
    <t>MP41-2027</t>
  </si>
  <si>
    <t>MP41-2399</t>
  </si>
  <si>
    <t>MP41-2411</t>
  </si>
  <si>
    <t>MP41-2024</t>
  </si>
  <si>
    <t>AMAZON,BBBDROP,BIGLOTSDS,BLK01,CSNSTORES,FINGERHUTDS,JCPENNEY01,KOHLDSN,MACY02,OVERSTOCK01,TGTDVS,WALMARTDS,Zulily</t>
  </si>
  <si>
    <t>MP41-2030</t>
  </si>
  <si>
    <t>MP41-2226</t>
  </si>
  <si>
    <t>Polyoni Pintuck Window Valance</t>
  </si>
  <si>
    <t>MP41-2228</t>
  </si>
  <si>
    <t>2/10/2017</t>
  </si>
  <si>
    <t>MP41-4378</t>
  </si>
  <si>
    <t>Polyoni Pintuck Valance</t>
  </si>
  <si>
    <t>AMAZON,ASHFURNDS,BBBDROP,BIGLOTSDS,BLK01,CSNSTORES,DESINC,FINGERHUTDS,JCPENNEY01,KOHLDSN,MACY02,OVERSTOCK01,TGTDVS,WALMARTDS</t>
  </si>
  <si>
    <t>11/8/2018</t>
  </si>
  <si>
    <t>MP41-2231</t>
  </si>
  <si>
    <t>9/13/2018</t>
  </si>
  <si>
    <t>MP41-2227</t>
  </si>
  <si>
    <t>AMAZON,AMAZONDS,BBBDROP,BEALLSDS,BIGLOTSDS,CSNSTORES,FINGERHUTDS,JCPENNEY01,KOHLDSN,MACY02,OVERSTOCK01,TGTDVS,WALMARTDS</t>
  </si>
  <si>
    <t>MP41-4375</t>
  </si>
  <si>
    <t>MP41-2229</t>
  </si>
  <si>
    <t>MP41-4376</t>
  </si>
  <si>
    <t>AMAZON,ASHFURNDS,BBBDROP,BEALLSDS,BIGLOTSDS,BLK01,CSNSTORES,DESINC,FINGERHUTDS,JCPENNEY01,KOHLDSN,MACY02,OVERSTOCK01,TGTDVS,WALMARTDS</t>
  </si>
  <si>
    <t>9/25/2018</t>
  </si>
  <si>
    <t>MP41-4377</t>
  </si>
  <si>
    <t>AMAZON,AMAZONDS,BBBDROP,BEALLSDS,BIGLOTSDS,BLK01,CSNSTORES,FINGERHUTDS,JCPENNEY01,KOHLDSN,MACY02,OVERSTOCK01,TGTDVS,WALMARTDS</t>
  </si>
  <si>
    <t>MP41-6760</t>
  </si>
  <si>
    <t>Window Valance</t>
  </si>
  <si>
    <t>PP000373;PF004927</t>
  </si>
  <si>
    <t>9/26/2019</t>
  </si>
  <si>
    <t>AMAZON,BBBDROP,BLK01,CSNSTORES,KOHLDSN,MACY02,OVERSTOCK01,TGTDVS,Zulily</t>
  </si>
  <si>
    <t>MP41-2230</t>
  </si>
  <si>
    <t>9/26/2018</t>
  </si>
  <si>
    <t>MP41-1532</t>
  </si>
  <si>
    <t>Embroidered Window Valance</t>
  </si>
  <si>
    <t>MP41-3507</t>
  </si>
  <si>
    <t>4/11/2017</t>
  </si>
  <si>
    <t>MP41-3505</t>
  </si>
  <si>
    <t>MP41-4210</t>
  </si>
  <si>
    <t>AMAZON,BBBDROP,BEALLSDS,BLK01,CSNSTORES,FINGERHUTDS,JCPENNEY01,KOHLDSN,MACY02,OVERSTOCK01,TGTDVS,WALMARTDS</t>
  </si>
  <si>
    <t>MP41-5471</t>
  </si>
  <si>
    <t>MP41-2096</t>
  </si>
  <si>
    <t>Sheer Embroidered Window Valance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</si>
  <si>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</si>
  <si>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</si>
  <si>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</si>
  <si>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</si>
  <si>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</si>
  <si>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</si>
  <si>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</si>
  <si>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</si>
  <si>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MP41-5174</t>
  </si>
  <si>
    <t>Cotton Oversized Ruffle Valance</t>
  </si>
  <si>
    <t>PP000339</t>
  </si>
  <si>
    <t>9/23/2017</t>
  </si>
  <si>
    <t>AMAZON,AMAZONDS,ASHFURNDS,BBBDROP,BEALLSDS,BLK01,CSNSTORES,DESINC,FINGERHUTDS,JCPENNEY01,KOHLDSN,MACY02,OVERSTOCK01,TGTDVS,WALMARTDS</t>
  </si>
  <si>
    <t>3/29/2023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</si>
  <si>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</si>
  <si>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</si>
  <si>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</si>
  <si>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</si>
  <si>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</si>
  <si>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</si>
  <si>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</si>
  <si>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8/30/2017</t>
  </si>
  <si>
    <t>MP41-2237</t>
  </si>
  <si>
    <t>Cotton Horizontal Ruffle Valance</t>
  </si>
  <si>
    <t>MP41-2165</t>
  </si>
  <si>
    <t>MP41-2116</t>
  </si>
  <si>
    <t>Printed Diamond Window Valance</t>
  </si>
  <si>
    <t>PF003906;PP000409</t>
  </si>
  <si>
    <t>BBBDROP,MACY02</t>
  </si>
  <si>
    <t>MP41-2117</t>
  </si>
  <si>
    <t>MP41-2115</t>
  </si>
  <si>
    <t>AMAZON,BBBDROP,BLK01,CSNSTORES,DESINC,MACY02,TGTDVS,WALMARTDS</t>
  </si>
  <si>
    <t>MP41-2094</t>
  </si>
  <si>
    <t>Microsuede Striped Window Valance</t>
  </si>
  <si>
    <t>MP41-2095</t>
  </si>
  <si>
    <t>AMAZON,BBBDROP,BEALLSDS,CSNSTORES,KOHLDSN,MACY02,OVERSTOCK01,TGTDVS,WALMARTDS</t>
  </si>
  <si>
    <t>MP41-4953</t>
  </si>
  <si>
    <t>Emily</t>
  </si>
  <si>
    <t>Arlene</t>
  </si>
  <si>
    <t>Viola</t>
  </si>
  <si>
    <t>Faux Silk Solid Pleated Valance</t>
  </si>
  <si>
    <t>10/30/2018</t>
  </si>
  <si>
    <t>MP41-4950</t>
  </si>
  <si>
    <t>MP40-4291</t>
  </si>
  <si>
    <t>KITCHEN TIERS</t>
  </si>
  <si>
    <t>KITCHEN TIER</t>
  </si>
  <si>
    <t>Printed andPieced Rod Pocket Kitchen Tier Set</t>
  </si>
  <si>
    <t>30x24"</t>
  </si>
  <si>
    <t>9/11/2018</t>
  </si>
  <si>
    <t>MP40-4292</t>
  </si>
  <si>
    <t>Printed and Pieced Rod Pocket Kitchen Tier Set</t>
  </si>
  <si>
    <t>30x36"</t>
  </si>
  <si>
    <t>MP31-4108</t>
  </si>
  <si>
    <t>CUSHION/POUF</t>
  </si>
  <si>
    <t>OUTDOOR CUSHION</t>
  </si>
  <si>
    <t>Printed Palm 3M Scotchgard Outdoor Seat Cushion</t>
  </si>
  <si>
    <t>20x20x3"</t>
  </si>
  <si>
    <t>AMAZON,BEALLSDS,KOHLDSN,MACY02</t>
  </si>
  <si>
    <t>7/24/2020</t>
  </si>
  <si>
    <t>MP31-3893</t>
  </si>
  <si>
    <t>OUTDOOR POUF</t>
  </si>
  <si>
    <t>Printed Stripe 3M Scotchgard Outdoor Square Pouf</t>
  </si>
  <si>
    <t>18x18x18"</t>
  </si>
  <si>
    <t>PF003789</t>
  </si>
  <si>
    <t>BBBDROP,BEALLSDS,CSNSTORES,KOHLDSN,MACY02,OVERSTOCK01,TGTDVS</t>
  </si>
  <si>
    <t>9/11/2020</t>
  </si>
  <si>
    <t>MP31-3863</t>
  </si>
  <si>
    <t>Solid 3M Scotchgard Outdoor Square Pouf</t>
  </si>
  <si>
    <t>BEALLSDS,CSNSTORES,MACY02,OVERSTOCK01,TGTDVS</t>
  </si>
  <si>
    <t>7/13/2020</t>
  </si>
  <si>
    <t>MP30-1538</t>
  </si>
  <si>
    <t>NORMAL PILLOW</t>
  </si>
  <si>
    <t>OTHER PILLOWS</t>
  </si>
  <si>
    <t>Wellington</t>
  </si>
  <si>
    <t>Jacquard Square Pillow Pair</t>
  </si>
  <si>
    <t>20x20"</t>
  </si>
  <si>
    <t>PF003390;PP000381</t>
  </si>
  <si>
    <t>AMAZON,AMAZONDS,BBBDROP,KOHLDSN,MACY02,OVERSTOCK01,WALMARTDS</t>
  </si>
  <si>
    <t>3/13/2017</t>
  </si>
  <si>
    <t>MP30-1539</t>
  </si>
  <si>
    <t>5/8/2017</t>
  </si>
  <si>
    <t>MP30-1926</t>
  </si>
  <si>
    <t>Cotton printed Square Pillow Pair with Solid Reverse</t>
  </si>
  <si>
    <t>AMAZON,AMAZONDS,BBBDROP,BEALLSDS,CSNSTORES,DESINC,KOHLDSN,MACY02,OVERSTOCK01,WALMARTDS</t>
  </si>
  <si>
    <t>MP30-4368</t>
  </si>
  <si>
    <t>Metallic Geo Embroidered Pillow Pair</t>
  </si>
  <si>
    <t>AMAZON,BBBDROP,CSNSTORES,KOHLDSN,MACY02,OVERSTOCK01,TGTDVS,WALMARTDS</t>
  </si>
  <si>
    <t>MP30-4369</t>
  </si>
  <si>
    <t>MP30-6460</t>
  </si>
  <si>
    <t>Camila</t>
  </si>
  <si>
    <t>Quilted Cotton Square Pillow Pair</t>
  </si>
  <si>
    <t>PF003343;PP001303</t>
  </si>
  <si>
    <t>Mid-Century</t>
  </si>
  <si>
    <t>Casual|Modern/Contemporary</t>
  </si>
  <si>
    <t>7/12/2019</t>
  </si>
  <si>
    <t>4/16/2020</t>
  </si>
  <si>
    <t>MP30-2670</t>
  </si>
  <si>
    <t>Printed Oblong Pillow Pair</t>
  </si>
  <si>
    <t>14x20"</t>
  </si>
  <si>
    <t>BBBDROP,BEALLSDS,CSNSTORES,KOHLDSN,MACY02,WALMARTDS</t>
  </si>
  <si>
    <t>MP30-1443</t>
  </si>
  <si>
    <t>Printed Square Pillow Pair</t>
  </si>
  <si>
    <t>AMAZON,BBBDROP,BEALLSDS,CSNSTORES,HOUZZ,KOHLDSN,MACY02,OVERSTOCK01,TGTDVS,WALMARTDS</t>
  </si>
  <si>
    <t>MP30-2667</t>
  </si>
  <si>
    <t>AMAZON,BBBDROP,BEALLSDS,CSNSTORES,KOHLDSN,MACY02,OVERSTOCK01,TGTDVS</t>
  </si>
  <si>
    <t>MP30-1440</t>
  </si>
  <si>
    <t>MP30-3404</t>
  </si>
  <si>
    <t>Pebble Beach</t>
  </si>
  <si>
    <t>Pacific Grove</t>
  </si>
  <si>
    <t>Ocean View</t>
  </si>
  <si>
    <t>Cotton Printed Square Pillow Pair with Solid Reverse</t>
  </si>
  <si>
    <t>PF002758;PP000484</t>
  </si>
  <si>
    <t>AMAZON,AMAZONDS,BBBDROP,CSNSTORES,KOHLDSN,MACY02,OVERSTOCK01,TGTDVS,Zulily</t>
  </si>
  <si>
    <t>MP30-3407</t>
  </si>
  <si>
    <t>Quebec</t>
  </si>
  <si>
    <t>Mansfield</t>
  </si>
  <si>
    <t>Vancouver</t>
  </si>
  <si>
    <t>20x20" Quilted Square Pillow Pair</t>
  </si>
  <si>
    <t>PF002475;PP000488</t>
  </si>
  <si>
    <t>Damask</t>
  </si>
  <si>
    <t>AMAZON,BBBDROP,CSNSTORES,KOHLDSN,MACY02,OVERSTOCK01,WALMARTDS</t>
  </si>
  <si>
    <t>MP30-6118</t>
  </si>
  <si>
    <t>PF004066;PP000640</t>
  </si>
  <si>
    <t>Casual|Traditional</t>
  </si>
  <si>
    <t>AMAZON,CSNSTORES,KOHLDSN,MACY02,OVERSTOCK01</t>
  </si>
  <si>
    <t>6/14/2019</t>
  </si>
  <si>
    <t>8/7/2019</t>
  </si>
  <si>
    <t>MP30-4649</t>
  </si>
  <si>
    <t>PF002400</t>
  </si>
  <si>
    <t>7/8/2017</t>
  </si>
  <si>
    <t>MP30-3406</t>
  </si>
  <si>
    <t>PF002442;PP000488</t>
  </si>
  <si>
    <t>AMAZON,BBBDROP,CSNSTORES,DESINC,KOHLDSN,MACY02,OVERSTOCK01,TGTDVS</t>
  </si>
  <si>
    <t>MP30-3408</t>
  </si>
  <si>
    <t>PF002453;PP000488</t>
  </si>
  <si>
    <t>MP30-4648</t>
  </si>
  <si>
    <t>PF002402</t>
  </si>
  <si>
    <t>CSNSTORES,KOHLDSN,MACY02,OVERSTOCK01,TGTDVS</t>
  </si>
  <si>
    <t>MP30-4650</t>
  </si>
  <si>
    <t>PF002401</t>
  </si>
  <si>
    <t>MP30-3409</t>
  </si>
  <si>
    <t>PF002464;PP000488</t>
  </si>
  <si>
    <t>MP30-3405</t>
  </si>
  <si>
    <t>PF002486;PP000488</t>
  </si>
  <si>
    <t>AMAZON,BBBDROP,CSNSTORES,KOHLDSN,MACY02,OVERSTOCK01,TGTDVS,WALMARTDS,Zulily</t>
  </si>
  <si>
    <t>MP30-4647</t>
  </si>
  <si>
    <t>PF002398</t>
  </si>
  <si>
    <t>AMAZONDS,BBBDROP,CSNSTORES,KOHLDSN,MACY02,TGTDVS</t>
  </si>
  <si>
    <t>MP30-4106</t>
  </si>
  <si>
    <t>OUTDOOR PILLOW</t>
  </si>
  <si>
    <t>Printed Palm 3M Scotchgard Outdoor Oblong Pillow</t>
  </si>
  <si>
    <t>AMAZON,BBBDROP,BEALLSDS,CSNSTORES,KOHLDSN,MACY02,OVERSTOCK01,WALMARTDS</t>
  </si>
  <si>
    <t>5/10/2019</t>
  </si>
  <si>
    <t>5/28/2019</t>
  </si>
  <si>
    <t>MP30-7464</t>
  </si>
  <si>
    <t>Printed Stripe 3M Scotchgard Outdoor Oblong Pillow</t>
  </si>
  <si>
    <t>PP000467;PF005429</t>
  </si>
  <si>
    <t>KOHLDSN,OVERSTOCK01</t>
  </si>
  <si>
    <t>MP30-7463</t>
  </si>
  <si>
    <t>Printed Stripe 3M Scotchgard Outdoor Square Pillow</t>
  </si>
  <si>
    <t>MP30-2880</t>
  </si>
  <si>
    <t>AMAZON,KOHLDSN,MACY02</t>
  </si>
  <si>
    <t>9/6/2019</t>
  </si>
  <si>
    <t>MP30-2881</t>
  </si>
  <si>
    <t>AMAZON,KOHLDSN,MACY02,TGTDVS</t>
  </si>
  <si>
    <t>7/27/2020</t>
  </si>
  <si>
    <t>MP30-2886</t>
  </si>
  <si>
    <t>10/16/2019</t>
  </si>
  <si>
    <t>MP30-3884</t>
  </si>
  <si>
    <t>AMAZON,BBBDROP,BEALLSDS,CSNSTORES,KOHLDSN,MACY02,OVERSTOCK01</t>
  </si>
  <si>
    <t>8/12/2019</t>
  </si>
  <si>
    <t>MP30-2838</t>
  </si>
  <si>
    <t>Solid 3M Scotchgard Outdoor Oblong Pillow</t>
  </si>
  <si>
    <t>AMAZON,KOHLDSN,MACY02,TGTDVS,WALMARTDS</t>
  </si>
  <si>
    <t>SS40-0016</t>
  </si>
  <si>
    <t>SunSmart</t>
  </si>
  <si>
    <t>Mirage</t>
  </si>
  <si>
    <t>Elysia</t>
  </si>
  <si>
    <t>Azalea</t>
  </si>
  <si>
    <t>Knitted Jacquard Damask Total Blackout Grommet Top Curtain Panel</t>
  </si>
  <si>
    <t>Glam/Luxury</t>
  </si>
  <si>
    <t>8/29/2017</t>
  </si>
  <si>
    <t>1/2/2024</t>
  </si>
  <si>
    <t>AMAZON,AMAZONDS,ASHFURNDS,BBBDROP,BLK01,CSNSTORES,HDDS,JCPENNEY01,KOHLDSN,MACY02,NEBFUR01,OVERSTOCK01,TGTDVS</t>
  </si>
  <si>
    <t>1/11/2018</t>
  </si>
  <si>
    <t>SS40-0017</t>
  </si>
  <si>
    <t>2/5/2018</t>
  </si>
  <si>
    <t>SS40-0018</t>
  </si>
  <si>
    <t>7/3/2018</t>
  </si>
  <si>
    <t>SS40-0101</t>
  </si>
  <si>
    <t>PP001039;PF004521</t>
  </si>
  <si>
    <t>11/25/2018</t>
  </si>
  <si>
    <t>AMAZON,AMAZONDS,BBBDROP,BLK01,CSNSTORES,HDDS,JCPENNEY01,KOHLDSN,MACY02,OVERSTOCK01,TGTDVS,Zulily</t>
  </si>
  <si>
    <t>2/24/2019</t>
  </si>
  <si>
    <t>4/23/2019</t>
  </si>
  <si>
    <t>SS40-0102</t>
  </si>
  <si>
    <t>SS40-0103</t>
  </si>
  <si>
    <t>AMAZON,AMAZONDS,BBBDROP,BLK01,CSNSTORES,DESINC,HDDS,JCPENNEY01,KOHLDSN,MACY02,OVERSTOCK01,TGTDVS</t>
  </si>
  <si>
    <t>4/25/2019</t>
  </si>
  <si>
    <t>SS40-0013</t>
  </si>
  <si>
    <t>2/12/2018</t>
  </si>
  <si>
    <t>SS40-0014</t>
  </si>
  <si>
    <t>PP001653;PF005527</t>
  </si>
  <si>
    <t>Luxury</t>
  </si>
  <si>
    <t>1/30/2018</t>
  </si>
  <si>
    <t>SS40-0015</t>
  </si>
  <si>
    <t>AMAZON,ASHFURNDS,BBBDROP,BLK01,CSNSTORES,HDDS,JCPENNEY01,KOHLDSN,MACY02,OVERSTOCK01,TGTDVS</t>
  </si>
  <si>
    <t>SS40-0019</t>
  </si>
  <si>
    <t>SS40-0020</t>
  </si>
  <si>
    <t>7/26/2018</t>
  </si>
  <si>
    <t>SS40-0021</t>
  </si>
  <si>
    <t>PP001653;PF005528</t>
  </si>
  <si>
    <t>AMAZON,ASHFURNDS,BBBDROP,CSNSTORES,HDDS,JCPENNEY01,KOHLDSN,MACY02,OVERSTOCK01,TGTDVS</t>
  </si>
  <si>
    <t>SS40-0113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</si>
  <si>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</si>
  <si>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</si>
  <si>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</si>
  <si>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</si>
  <si>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</si>
  <si>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</si>
  <si>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</si>
  <si>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7/11/2019</t>
  </si>
  <si>
    <t>SS40-0071</t>
  </si>
  <si>
    <t>Printed Ikat Blackout Panel</t>
  </si>
  <si>
    <t>10/18/2017</t>
  </si>
  <si>
    <t>SS40-0072</t>
  </si>
  <si>
    <t>Printed Ikat Blackout Curtain Panel</t>
  </si>
  <si>
    <t>AMAZON,AMAZONDS,AMERSIGNDS,BBBDROP,BLK01,CSNSTORES,JCPENNEY01,KOHLDSN,MACY02,OVERSTOCK01,TGTDVS,WALMARTDS</t>
  </si>
  <si>
    <t>2/9/2018</t>
  </si>
  <si>
    <t>SS40-0073</t>
  </si>
  <si>
    <t>AMAZON,AMAZONDS,BBBDROP,CSNSTORES,HDDS,JCPENNEY01,KOHLDSN,MACY02,OVERSTOCK01,TGTDVS,WALMARTDS</t>
  </si>
  <si>
    <t>3/27/2018</t>
  </si>
  <si>
    <t>SS40-0111</t>
  </si>
  <si>
    <t>AMAZON,AMERSIGNDS,BBBDROP,BLK01,CSNSTORES,DESINC,HDDS,JCPENNEY01,KOHLDSN,MACY02,OVERSTOCK01,TGTDVS</t>
  </si>
  <si>
    <t>5/15/2019</t>
  </si>
  <si>
    <t>SS40-0065</t>
  </si>
  <si>
    <t>PP000592;PF004054</t>
  </si>
  <si>
    <t>3/15/2018</t>
  </si>
  <si>
    <t>SS40-0066</t>
  </si>
  <si>
    <t>AMAZON,BBBDROP,BLK01,CSNSTORES,HDDS,JCPENNEY01,KOHLDSN,MACY02,OVERSTOCK01,TGTDVS,WALMARTDS</t>
  </si>
  <si>
    <t>SS40-0067</t>
  </si>
  <si>
    <t>2/26/2018</t>
  </si>
  <si>
    <t>SS40-0112</t>
  </si>
  <si>
    <t>7/2/2019</t>
  </si>
  <si>
    <t>SS40-0068</t>
  </si>
  <si>
    <t>PP000592;PF004055</t>
  </si>
  <si>
    <t>AMAZON,BBBDROP,CSNSTORES,JCPENNEY01,KOHLDSN,MACY02,OVERSTOCK01,TGTDVS,WALMARTDS,Zulily</t>
  </si>
  <si>
    <t>7/2/2018</t>
  </si>
  <si>
    <t>SS40-0069</t>
  </si>
  <si>
    <t>SS40-0070</t>
  </si>
  <si>
    <t>AMAZON,AMAZONDS,BBBDROP,CSNSTORES,HDDS,JCPENNEY01,KOHLDSN,MACY02,OVERSTOCK01,TGTDVS,WALMARTDS,Zulily</t>
  </si>
  <si>
    <t>SS40-0183</t>
  </si>
  <si>
    <t>PP000592;PF005324</t>
  </si>
  <si>
    <t>3/16/2021</t>
  </si>
  <si>
    <t>6/21/2021</t>
  </si>
  <si>
    <t>7/20/2021</t>
  </si>
  <si>
    <t>SS40-0181</t>
  </si>
  <si>
    <t>11/30/2021</t>
  </si>
  <si>
    <t>SS40-0182</t>
  </si>
  <si>
    <t>AMAZON,BBBDROP,CSNSTORES,JCPENNEY01,KOHLDSN,MACY02,TGTDVS</t>
  </si>
  <si>
    <t>12/30/2021</t>
  </si>
  <si>
    <t>SS40-0186</t>
  </si>
  <si>
    <t>PP000592;PF005325</t>
  </si>
  <si>
    <t>1/27/2021</t>
  </si>
  <si>
    <t>BBBDROP,HDDS</t>
  </si>
  <si>
    <t>9/2/2021</t>
  </si>
  <si>
    <t>SS40-0120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</si>
  <si>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</si>
  <si>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</si>
  <si>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</si>
  <si>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</si>
  <si>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</si>
  <si>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</si>
  <si>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AMAZON,ASHFURNDS,BBBDROP,BLK01,CSNSTORES,HDDS,JCPENNEY01,KOHLDSN,MACY02,OVERSTOCK01,Zulily</t>
  </si>
  <si>
    <t>SS40-0121</t>
  </si>
  <si>
    <t>AMAZON,AMAZONDS,ASHFURNDS,BBBDROP,CSNSTORES,HDDS,JCPENNEY01,KOHLDSN,MACY02,OVERSTOCK01</t>
  </si>
  <si>
    <t>SS40-0122</t>
  </si>
  <si>
    <t>AMAZONDS,ASHFURNDS,BBBDROP,BLK01,CSNSTORES,JCPENNEY01,KOHLDSN,MACY02,OVERSTOCK01</t>
  </si>
  <si>
    <t>SS40-0059</t>
  </si>
  <si>
    <t>PP000358;PF004025</t>
  </si>
  <si>
    <t>AMAZON,AMAZONDS,AMERSIGNDS,ASHFURNDS,BBBDROP,BLK01,CSNSTORES,JCPENNEY01,KOHLDSN,MACY02,OVERSTOCK01,TGTDVS,WALMARTDS,Zulily</t>
  </si>
  <si>
    <t>SS40-0060</t>
  </si>
  <si>
    <t>SS40-0061</t>
  </si>
  <si>
    <t>SS40-0062</t>
  </si>
  <si>
    <t>PP000358;PF004024</t>
  </si>
  <si>
    <t>AMAZON,AMAZONDS,BBBDROP,BLK01,CSNSTORES,JCPENNEY01,KOHLDSN,MACY02,OVERSTOCK01,TGTDVS,WALMARTDS,Zulily</t>
  </si>
  <si>
    <t>SS40-0063</t>
  </si>
  <si>
    <t>2/14/2018</t>
  </si>
  <si>
    <t>SS40-0064</t>
  </si>
  <si>
    <t>SS40-0145</t>
  </si>
  <si>
    <t>PP000358;PF005185</t>
  </si>
  <si>
    <t>9/23/2020</t>
  </si>
  <si>
    <t>AMAZON,AMAZONDS,ASHFURNDS,BLK01,CSNSTORES,HDDS,JCPENNEY01,KOHLDSN,MACY02,OVERSTOCK01,TGTDVS</t>
  </si>
  <si>
    <t>SS40-0146</t>
  </si>
  <si>
    <t>ASHFURNDS,BBBDROP,CSNSTORES,JCPENNEY01,KOHLDSN,MACY02,OVERSTOCK01,TGTDVS</t>
  </si>
  <si>
    <t>12/11/2020</t>
  </si>
  <si>
    <t>SS40-0147</t>
  </si>
  <si>
    <t>AMAZONDS,CSNSTORES,JCPENNEY01,KOHLDSN,MACY02,OVERSTOCK01,TGTDVS</t>
  </si>
  <si>
    <t>SS40-0209</t>
  </si>
  <si>
    <t>Plum</t>
  </si>
  <si>
    <t>PP000358;PF005423</t>
  </si>
  <si>
    <t>4/26/2021</t>
  </si>
  <si>
    <t>AMAZON,AMAZONDS,BBBDROP,HDDS,JCPENNEY01,KOHLDSN,MACY02,OVERSTOCK01,TGTDVS</t>
  </si>
  <si>
    <t>SS40-0210</t>
  </si>
  <si>
    <t>AMAZON,CSNSTORES,JCPENNEY01,KOHLDSN,MACY02,OVERSTOCK01</t>
  </si>
  <si>
    <t>7/19/2021</t>
  </si>
  <si>
    <t>SS40-0211</t>
  </si>
  <si>
    <t>AMAZONDS,BLK01,JCPENNEY01,KOHLDSN,MACY02,TGTDVS</t>
  </si>
  <si>
    <t>SS40-0027</t>
  </si>
  <si>
    <t>Maya</t>
  </si>
  <si>
    <t>Arlie</t>
  </si>
  <si>
    <t>Rune</t>
  </si>
  <si>
    <t>Printed Heathered Blackout Grommet Top Curtain Panel</t>
  </si>
  <si>
    <t>PF003955</t>
  </si>
  <si>
    <t>9/19/2017</t>
  </si>
  <si>
    <t>SS40-0028</t>
  </si>
  <si>
    <t>AMAZON,AMAZONDS,AMERSIGNDS,ASHFURNDS,BBBDROP,BLK01,CSNSTORES,DESINC,JCPENNEY01,KOHLDSN,MACY02,OVERSTOCK01,TGTDVS,WALMARTDS</t>
  </si>
  <si>
    <t>SS40-0029</t>
  </si>
  <si>
    <t>1/23/2018</t>
  </si>
  <si>
    <t>SS40-0026</t>
  </si>
  <si>
    <t>50x54"</t>
  </si>
  <si>
    <t>AMAZON,AMAZONDS,AMERSIGNDS,ASHFURNDS,BBBDROP,BLK01,CSNSTORES,JCPENNEY01,KOHLDSN,MACY02,OVERSTOCK01,TGTDVS,WALMARTDS</t>
  </si>
  <si>
    <t>SS40-0108</t>
  </si>
  <si>
    <t>Printed Heathered Blackout Window Patio Panel</t>
  </si>
  <si>
    <t>100x84" Blackout</t>
  </si>
  <si>
    <t>AMAZON,ASHFURNDS,BBBDROP,CSNSTORES,JCPENNEY01,KOHLDSN,MACY02,OVERSTOCK01,TGTDVS,Zulily</t>
  </si>
  <si>
    <t>6/11/2019</t>
  </si>
  <si>
    <t>SS40-0031</t>
  </si>
  <si>
    <t>PF003956</t>
  </si>
  <si>
    <t>AMAZON,BBBDROP,BLK01,CSNSTORES,JCPENNEY01,KOHLDSN,MACY02,OVERSTOCK01,TGTDVS,Zulily</t>
  </si>
  <si>
    <t>1/22/2018</t>
  </si>
  <si>
    <t>SS40-0032</t>
  </si>
  <si>
    <t>AMAZONDS,ASHFURNDS,BBBDROP,BLK01,CSNSTORES,JCPENNEY01,KOHLDSN,MACY02,OVERSTOCK01,TGTDVS</t>
  </si>
  <si>
    <t>3/6/2018</t>
  </si>
  <si>
    <t>SS40-0033</t>
  </si>
  <si>
    <t>SS40-0030</t>
  </si>
  <si>
    <t>SS40-0109</t>
  </si>
  <si>
    <t>AMAZON,AMAZONDS,ASHFURNDS,BBBDROP,BLK01,CSNSTORES,DESINC,JCPENNEY01,KOHLDSN,MACY02,OVERSTOCK01,TGTDVS</t>
  </si>
  <si>
    <t>SS40-0105</t>
  </si>
  <si>
    <t>PF004520;PP001038</t>
  </si>
  <si>
    <t>BBBDROP,BLK01,CSNSTORES,JCPENNEY01,KOHLDSN,MACY02,OVERSTOCK01</t>
  </si>
  <si>
    <t>SS40-0106</t>
  </si>
  <si>
    <t>SS40-0107</t>
  </si>
  <si>
    <t>6/25/2019</t>
  </si>
  <si>
    <t>SS40-0104</t>
  </si>
  <si>
    <t>SS40-0144</t>
  </si>
  <si>
    <t>7/10/2020</t>
  </si>
  <si>
    <t>AMAZONDS,ASHFURNDS,BBBDROP,CSNSTORES,JCPENNEY01,KOHLDSN,MACY02,OVERSTOCK01,TGTDVS</t>
  </si>
  <si>
    <t>SS40-0035</t>
  </si>
  <si>
    <t>Dusty Seafoam</t>
  </si>
  <si>
    <t>PF003954</t>
  </si>
  <si>
    <t>2/1/2018</t>
  </si>
  <si>
    <t>SS40-0036</t>
  </si>
  <si>
    <t>SS40-0037</t>
  </si>
  <si>
    <t>PF003954;PP001038</t>
  </si>
  <si>
    <t>2/6/2018</t>
  </si>
  <si>
    <t>SS40-0034</t>
  </si>
  <si>
    <t>6/27/2018</t>
  </si>
  <si>
    <t>SS40-0110</t>
  </si>
  <si>
    <t>AMAZON,AMAZONDS,BBBDROP,BLK01,CSNSTORES,JCPENNEY01,KOHLDSN,MACY02,OVERSTOCK01,TGTDVS,Zulily</t>
  </si>
  <si>
    <t>7/8/2019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</si>
  <si>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</si>
  <si>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</si>
  <si>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</si>
  <si>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</si>
  <si>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</si>
  <si>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</si>
  <si>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AMAZONDS,BBBDROP,BLK01,CSNSTORES,HDDS,JCPENNEY01,KOHLDSN,MACY02,OVERSTOCK01,TGTDVS</t>
  </si>
  <si>
    <t>8/30/2021</t>
  </si>
  <si>
    <t>SS40-0204</t>
  </si>
  <si>
    <t>8/9/2021</t>
  </si>
  <si>
    <t>SS40-0205</t>
  </si>
  <si>
    <t>AMAZONDS,BBBDROP,CSNSTORES,HDDS,JCPENNEY01,KOHLDSN,MACY02,OVERSTOCK01,TGTDVS</t>
  </si>
  <si>
    <t>7/14/2021</t>
  </si>
  <si>
    <t>SS40-0200</t>
  </si>
  <si>
    <t>PP001613;PF005414</t>
  </si>
  <si>
    <t>7/26/2021</t>
  </si>
  <si>
    <t>SS40-0201</t>
  </si>
  <si>
    <t>SS40-0202</t>
  </si>
  <si>
    <t>AMAZONDS,CSNSTORES,JCPENNEY01,KOHLDSN,OVERSTOCK01,TGTDVS</t>
  </si>
  <si>
    <t>6/27/2021</t>
  </si>
  <si>
    <t>SS40-0206</t>
  </si>
  <si>
    <t>PP001613;PF005416</t>
  </si>
  <si>
    <t>SS40-0207</t>
  </si>
  <si>
    <t>AMAZONDS,CSNSTORES,HDDS,JCPENNEY01,KOHLDSN,MACY02</t>
  </si>
  <si>
    <t>SS40-0208</t>
  </si>
  <si>
    <t>BBBDROP,CSNSTORES,HDDS,JCPENNEY01,MACY02,OVERSTOCK01,TGTDVS</t>
  </si>
  <si>
    <t>8/27/2021</t>
  </si>
  <si>
    <t>SS40-0197</t>
  </si>
  <si>
    <t>PP001613;PF005413</t>
  </si>
  <si>
    <t>SS40-0198</t>
  </si>
  <si>
    <t>BBBDROP,CSNSTORES,HDDS,JCPENNEY01,KOHLDSN,MACY02,TGTDVS</t>
  </si>
  <si>
    <t>9/29/2021</t>
  </si>
  <si>
    <t>SS40-0199</t>
  </si>
  <si>
    <t>AMAZONDS,BBBDROP,CSNSTORES,DESINC,JCPENNEY01,OVERSTOCK01,TGTDVS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</si>
  <si>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</si>
  <si>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</si>
  <si>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</si>
  <si>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</si>
  <si>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</si>
  <si>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</si>
  <si>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</si>
  <si>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</si>
  <si>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</si>
  <si>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AMAZON,AMAZONDS,AMERSIGNDS,BBBDROP,BLK01,CSNSTORES,HDDS,JCPENNEY01,KOHLDSN,MACY02,OVERSTOCK01,TGTDVS</t>
  </si>
  <si>
    <t>SS40-0005</t>
  </si>
  <si>
    <t>PF003944;PP001040</t>
  </si>
  <si>
    <t>AMAZON,AMAZONDS,AMERSIGNDS,ASHFURNDS,BBBDROP,BLK01,CSNSTORES,HDDS,JCPENNEY01,KOHLDSN,MACY02,OVERSTOCK01,TGTDVS</t>
  </si>
  <si>
    <t>SS40-0006</t>
  </si>
  <si>
    <t>SS40-0097</t>
  </si>
  <si>
    <t>Grey/Silver</t>
  </si>
  <si>
    <t>PF004522;PP001040</t>
  </si>
  <si>
    <t>12/9/2018</t>
  </si>
  <si>
    <t>AMAZON,AMAZONDS,ASHFURNDS,BLK01,CSNSTORES,DESINC,JCPENNEY01,KOHLDSN,MACY02,OVERSTOCK01</t>
  </si>
  <si>
    <t>4/29/2019</t>
  </si>
  <si>
    <t>SS40-0098</t>
  </si>
  <si>
    <t>SS40-0099</t>
  </si>
  <si>
    <t>AMAZON,AMAZONDS,ASHFURNDS,BBBDROP,CSNSTORES,DESINC,HDDS,JCPENNEY01,KOHLDSN,MACY02,OVERSTOCK01</t>
  </si>
  <si>
    <t>5/1/2019</t>
  </si>
  <si>
    <t>SS40-0234</t>
  </si>
  <si>
    <t>PP001040;PF005830</t>
  </si>
  <si>
    <t>10/14/2022</t>
  </si>
  <si>
    <t>SS40-0235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</si>
  <si>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</si>
  <si>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</si>
  <si>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</si>
  <si>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</si>
  <si>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</si>
  <si>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</si>
  <si>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</si>
  <si>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10/12/2018</t>
  </si>
  <si>
    <t>12/26/2019</t>
  </si>
  <si>
    <t>SS40-0091</t>
  </si>
  <si>
    <t>10/16/2018</t>
  </si>
  <si>
    <t>SS40-0092</t>
  </si>
  <si>
    <t>10/17/2018</t>
  </si>
  <si>
    <t>2/6/2019</t>
  </si>
  <si>
    <t>SS40-0094</t>
  </si>
  <si>
    <t>PP000999;PF004469</t>
  </si>
  <si>
    <t>AMAZON,AMAZONDS,BBBDROP,BLK01,CSNSTORES,DESINC,HDDS,JCPENNEY01,KOHLDSN,MACY02,OVERSTOCK01,TGTDVS,Zulily</t>
  </si>
  <si>
    <t>SS40-0095</t>
  </si>
  <si>
    <t>11/4/2018</t>
  </si>
  <si>
    <t>11/12/2019</t>
  </si>
  <si>
    <t>SS40-0096</t>
  </si>
  <si>
    <t>11/20/2019</t>
  </si>
  <si>
    <t>SS40-0022</t>
  </si>
  <si>
    <t>Julie</t>
  </si>
  <si>
    <t>April</t>
  </si>
  <si>
    <t>Lila</t>
  </si>
  <si>
    <t>Printed Botanical Blackout Curtain Panel</t>
  </si>
  <si>
    <t>PF003953</t>
  </si>
  <si>
    <t>2/2/2018</t>
  </si>
  <si>
    <t>SS40-0023</t>
  </si>
  <si>
    <t>AMAZON,ASHFURNDS,BBBDROP,CSNSTORES,HDDS,JCPENNEY01,KOHLDSN,MACY02,OVERSTOCK01,TGTDVS,WALMARTDS</t>
  </si>
  <si>
    <t>SS40-0024</t>
  </si>
  <si>
    <t>PF003952</t>
  </si>
  <si>
    <t>AMAZON,ASHFURNDS,BBBDROP,BLK01,CSNSTORES,HDDS,JCPENNEY01,KOHLDSN,MACY02,OVERSTOCK01,TGTDVS,WALMARTDS,Zulily</t>
  </si>
  <si>
    <t>3/12/2018</t>
  </si>
  <si>
    <t>SS40-0025</t>
  </si>
  <si>
    <t>AMAZONDS,BBBDROP,CSNSTORES,HDDS,JCPENNEY01,KOHLDSN,MACY02,OVERSTOCK01,TGTDVS,WALMARTDS,Zulily</t>
  </si>
  <si>
    <t>SS40-0077</t>
  </si>
  <si>
    <t>Jenelle</t>
  </si>
  <si>
    <t>Dahlia</t>
  </si>
  <si>
    <t>Elsie</t>
  </si>
  <si>
    <t>Paisley Printed Total Blackout Curtain Panel</t>
  </si>
  <si>
    <t>PF004144;PP000821</t>
  </si>
  <si>
    <t>3/19/2019</t>
  </si>
  <si>
    <t>SS40-0078</t>
  </si>
  <si>
    <t>11/13/2018</t>
  </si>
  <si>
    <t>SS40-0079</t>
  </si>
  <si>
    <t>10/19/2018</t>
  </si>
  <si>
    <t>SS40-0080</t>
  </si>
  <si>
    <t>PF004145;PP000821</t>
  </si>
  <si>
    <t>3/21/2019</t>
  </si>
  <si>
    <t>SS40-0081</t>
  </si>
  <si>
    <t>11/16/2018</t>
  </si>
  <si>
    <t>SS40-0082</t>
  </si>
  <si>
    <t>12/4/2018</t>
  </si>
  <si>
    <t>SS40-0221</t>
  </si>
  <si>
    <t>Printed Ogee Texture Blackout Grommet Top Curtain Panel</t>
  </si>
  <si>
    <t>AMAZON,AMAZONDS,JCPENNEY01,KOHLDSN,MACY02,TGTDVS</t>
  </si>
  <si>
    <t>6/7/2022</t>
  </si>
  <si>
    <t>SS40-0222</t>
  </si>
  <si>
    <t>CSNSTORES,KOHLDSN,MACY02,TGTDVS</t>
  </si>
  <si>
    <t>SS40-0219</t>
  </si>
  <si>
    <t>84" Panel</t>
  </si>
  <si>
    <t>AMAZONDS,BBBDROP,CSNSTORES,JCPENNEY01,MACY02,TGTDVS</t>
  </si>
  <si>
    <t>6/8/2022</t>
  </si>
  <si>
    <t>SS40-0220</t>
  </si>
  <si>
    <t>95" Panel</t>
  </si>
  <si>
    <t>6/29/2022</t>
  </si>
  <si>
    <t>SS40-0223</t>
  </si>
  <si>
    <t>PP001645;PF005503</t>
  </si>
  <si>
    <t>AMAZON,JCPENNEY01,KOHLDSN,MACY02,OVERSTOCK01,TGTDVS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</si>
  <si>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</si>
  <si>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</si>
  <si>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</si>
  <si>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</si>
  <si>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</si>
  <si>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</si>
  <si>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</si>
  <si>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AMAZON,ASHFURNDS,BBBDROP,BLK01,CSNSTORES,HDDS,JCPENNEY01,KOHLDSN,MACY02,OVERSTOCK01,TGTDVS,WALMARTDS</t>
  </si>
  <si>
    <t>2/8/2018</t>
  </si>
  <si>
    <t>SS40-0010</t>
  </si>
  <si>
    <t>SS40-0215</t>
  </si>
  <si>
    <t>PF005460;PP001627</t>
  </si>
  <si>
    <t>SS40-0216</t>
  </si>
  <si>
    <t>CSNSTORES,JCPENNEY01,KOHLDSN,MACY02,OVERSTOCK01,TGTDVS</t>
  </si>
  <si>
    <t>SS40-0127</t>
  </si>
  <si>
    <t>Taylor</t>
  </si>
  <si>
    <t>Oxford</t>
  </si>
  <si>
    <t>Blake</t>
  </si>
  <si>
    <t>Diamond Jacquard Total Blackout Panel</t>
  </si>
  <si>
    <t>PP001354;PF004838</t>
  </si>
  <si>
    <t>9/17/2019</t>
  </si>
  <si>
    <t>4/28/2020</t>
  </si>
  <si>
    <t>SS40-0129</t>
  </si>
  <si>
    <t>PP001354;PF004839</t>
  </si>
  <si>
    <t>AMAZON,BBBDROP,CSNSTORES,JCPENNEY01,KOHLDSN,MACY02,TGTDVS,Zulily</t>
  </si>
  <si>
    <t>SS40-0130</t>
  </si>
  <si>
    <t>SS40-0123</t>
  </si>
  <si>
    <t>PP001354;PF004837</t>
  </si>
  <si>
    <t>SS40-0124</t>
  </si>
  <si>
    <t>AMAZON,AMAZONDS,ASHFURNDS,BBBDROP,MACY02,OVERSTOCK01,TGTDVS</t>
  </si>
  <si>
    <t>SS40-0132</t>
  </si>
  <si>
    <t>PP001354;PF004840</t>
  </si>
  <si>
    <t>AMAZON,BBBDROP,CSNSTORES,KOHLDSN,MACY02,OVERSTOCK01,TGTDVS,Zulily</t>
  </si>
  <si>
    <t>SS40-0134</t>
  </si>
  <si>
    <t>AMAZON,BBBDROP,CSNSTORES,MACY02,OVERSTOCK01,TGTDVS,Zulily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</si>
  <si>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</si>
  <si>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</si>
  <si>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</si>
  <si>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</si>
  <si>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</si>
  <si>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</si>
  <si>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</si>
  <si>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</si>
  <si>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AMAZON,CSNSTORES,JCPENNEY01,KOHLDSN,MACY02,OVERSTOCK01,TGTDVS</t>
  </si>
  <si>
    <t>SS40-0175</t>
  </si>
  <si>
    <t>PP001559;PF005237</t>
  </si>
  <si>
    <t>HDDS,JCPENNEY01,MACY02,OVERSTOCK01,TGTDVS</t>
  </si>
  <si>
    <t>SWV40-0023</t>
  </si>
  <si>
    <t>Everly</t>
  </si>
  <si>
    <t>Lavine</t>
  </si>
  <si>
    <t>Ismay</t>
  </si>
  <si>
    <t>Branch Jacquard Total Blackout Window Panel</t>
  </si>
  <si>
    <t>PP001306;PF005461</t>
  </si>
  <si>
    <t>6/28/2021</t>
  </si>
  <si>
    <t>BBBDROP,CSNSTORES,JCPENNEY01,MACY02,OVERSTOCK01</t>
  </si>
  <si>
    <t>6/26/2021</t>
  </si>
  <si>
    <t>9/21/2021</t>
  </si>
  <si>
    <t>SWV40-0013</t>
  </si>
  <si>
    <t>PP001306;PF004744</t>
  </si>
  <si>
    <t>8/8/2019</t>
  </si>
  <si>
    <t>BBBDROP,CSNSTORES,MACY02,TGTDVS</t>
  </si>
  <si>
    <t>SWV40-0014</t>
  </si>
  <si>
    <t>6/10/2020</t>
  </si>
  <si>
    <t>SWV40-0009</t>
  </si>
  <si>
    <t>PP001306;PF004742</t>
  </si>
  <si>
    <t>BBBDROP,CSNSTORES,KOHLDSN,MACY02,OVERSTOCK01,TGTDVS,WALMARTDS</t>
  </si>
  <si>
    <t>5/18/2020</t>
  </si>
  <si>
    <t>SWV40-0010</t>
  </si>
  <si>
    <t>BBBDROP,CSNSTORES,DESINC,KOHLDSN,MACY02,OVERSTOCK01,TGTDVS,WALMARTDS</t>
  </si>
  <si>
    <t>5/25/2020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</si>
  <si>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</si>
  <si>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</si>
  <si>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</si>
  <si>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</si>
  <si>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</si>
  <si>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</si>
  <si>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AMAZONDS,BLK01,HDDS,MACY02,OVERSTOCK01,TGTDVS</t>
  </si>
  <si>
    <t>SS40-0169</t>
  </si>
  <si>
    <t>PP001558;PF005234</t>
  </si>
  <si>
    <t>JCPENNEY01,MACY02,TGTDVS</t>
  </si>
  <si>
    <t>8/16/2021</t>
  </si>
  <si>
    <t>SS40-0172</t>
  </si>
  <si>
    <t>PP001558;PF005235</t>
  </si>
  <si>
    <t>4/11/2022</t>
  </si>
  <si>
    <t>SS40-0163</t>
  </si>
  <si>
    <t>Eilish</t>
  </si>
  <si>
    <t>Tinsley</t>
  </si>
  <si>
    <t>Esme</t>
  </si>
  <si>
    <t>Printed Dobby Texture Total Blackout Grommet Top Panel</t>
  </si>
  <si>
    <t>PP001570;PF005280</t>
  </si>
  <si>
    <t>11/2/2020</t>
  </si>
  <si>
    <t>BBBDROP,CSNSTORES,KOHLDSN,MACY02,OVERSTOCK01,TGTDVS,Zulily</t>
  </si>
  <si>
    <t>SS40-0164</t>
  </si>
  <si>
    <t>SS40-0165</t>
  </si>
  <si>
    <t>PP001570;PF005281</t>
  </si>
  <si>
    <t>BBBDROP,CSNSTORES,HDDS,KOHLDSN,MACY02,OVERSTOCK01,TGTDVS,Zulily</t>
  </si>
  <si>
    <t>SS40-0166</t>
  </si>
  <si>
    <t>1/6/2021</t>
  </si>
  <si>
    <t>SS40-0135</t>
  </si>
  <si>
    <t>Tonal Printed Faux Silk Total Blackout Window Panel Pair</t>
  </si>
  <si>
    <t>1/3/2020</t>
  </si>
  <si>
    <t>1/6/2020</t>
  </si>
  <si>
    <t>SS40-0136</t>
  </si>
  <si>
    <t>Tonal Printed Faux Silk Total Blackout Curtain Panel Pair</t>
  </si>
  <si>
    <t>4/14/2024</t>
  </si>
  <si>
    <t>2/5/2020</t>
  </si>
  <si>
    <t>SS40-0137</t>
  </si>
  <si>
    <t>AMAZONDS,ASHFURNDS,BBBDROP,CSNSTORES,DESINC,JCPENNEY01,KOHLDSN,MACY02,OVERSTOCK01,TGTDVS</t>
  </si>
  <si>
    <t>2/20/2020</t>
  </si>
  <si>
    <t>SS40-0138</t>
  </si>
  <si>
    <t>BBBDROP,CSNSTORES,KOHLDSN,MACY02,TGTDVS</t>
  </si>
  <si>
    <t>SS40-0139</t>
  </si>
  <si>
    <t>3/1/2024</t>
  </si>
  <si>
    <t>3/23/2020</t>
  </si>
  <si>
    <t>SS40-0140</t>
  </si>
  <si>
    <t>SS40-0141</t>
  </si>
  <si>
    <t>3/17/2020</t>
  </si>
  <si>
    <t>SS40-0142</t>
  </si>
  <si>
    <t>BBBDROP,CSNSTORES,DESINC,JCPENNEY01,KOHLDSN,MACY02,OVERSTOCK01,TGTDVS</t>
  </si>
  <si>
    <t>3/19/2020</t>
  </si>
  <si>
    <t>SS40-0143</t>
  </si>
  <si>
    <t>ASHFURNDS,BBBDROP,BLK01,CSNSTORES,JCPENNEY01,KOHLDSN,MACY02,OVERSTOCK01,TGTDVS</t>
  </si>
  <si>
    <t>1/14/2020</t>
  </si>
  <si>
    <t>SS40-0178</t>
  </si>
  <si>
    <t>BBBDROP,CSNSTORES,JCPENNEY01,KOHLDSN,MACY02,OVERSTOCK01,TGTDVS,Zulily</t>
  </si>
  <si>
    <t>7/21/2021</t>
  </si>
  <si>
    <t>SS40-0179</t>
  </si>
  <si>
    <t>ASHFURNDS,BLK01,CSNSTORES,JCPENNEY01,KOHLDSN,MACY02,OVERSTOCK01,TGTDVS,Zulily</t>
  </si>
  <si>
    <t>SS40-0231</t>
  </si>
  <si>
    <t>7/29/2022</t>
  </si>
  <si>
    <t>2/27/2023</t>
  </si>
  <si>
    <t>SS40-0232</t>
  </si>
  <si>
    <t>CSNSTORES,JCPENNEY01</t>
  </si>
  <si>
    <t>4/6/2023</t>
  </si>
  <si>
    <t>SS40-0154</t>
  </si>
  <si>
    <t>Taren</t>
  </si>
  <si>
    <t>Brent</t>
  </si>
  <si>
    <t>Aljed</t>
  </si>
  <si>
    <t>Solid Blackout Triple Weave Grommet Top Curtain Panel Pair</t>
  </si>
  <si>
    <t>PP001545;PF005214</t>
  </si>
  <si>
    <t>10/9/2020</t>
  </si>
  <si>
    <t>ASHFURNDS,BLK01,CSNSTORES,JCPENNEY01,KOHLDSN,MACY02,OVERSTOCK01,TGTDVS</t>
  </si>
  <si>
    <t>SS40-0155</t>
  </si>
  <si>
    <t>12/7/2020</t>
  </si>
  <si>
    <t>SS40-0156</t>
  </si>
  <si>
    <t>SS40-0157</t>
  </si>
  <si>
    <t>PP001545;PF005215</t>
  </si>
  <si>
    <t>12/15/2020</t>
  </si>
  <si>
    <t>SS40-0158</t>
  </si>
  <si>
    <t>12/14/2020</t>
  </si>
  <si>
    <t>SS40-0159</t>
  </si>
  <si>
    <t>ASHFURNDS,CSNSTORES,JCPENNEY01,KOHLDSN,MACY02,OVERSTOCK01,TGTDVS</t>
  </si>
  <si>
    <t>SS40-0151</t>
  </si>
  <si>
    <t>PP001545;PF005213</t>
  </si>
  <si>
    <t>BBBDROP,CSNSTORES,JCPENNEY01,KOHLDSN,MACY02</t>
  </si>
  <si>
    <t>SS40-0152</t>
  </si>
  <si>
    <t>ASHFURNDS,BBBDROP,CSNSTORES,DESINC,JCPENNEY01,KOHLDSN,MACY02,OVERSTOCK01,TGTDVS</t>
  </si>
  <si>
    <t>SS40-0153</t>
  </si>
  <si>
    <t>ASHFURNDS,BBBDROP,BLK01,CSNSTORES,JCPENNEY01,KOHLDSN,MACY02,OVERSTOCK01</t>
  </si>
  <si>
    <t>12/16/2020</t>
  </si>
  <si>
    <t>SS40-0148</t>
  </si>
  <si>
    <t>Gray</t>
  </si>
  <si>
    <t>PP001545;PF005212</t>
  </si>
  <si>
    <t>CSNSTORES,DESINC,JCPENNEY01,KOHLDSN,MACY02,OVERSTOCK01,TGTDVS</t>
  </si>
  <si>
    <t>SS40-0149</t>
  </si>
  <si>
    <t>ASHFURNDS,BBBDROP,BLK01,CSNSTORES,DESINC,JCPENNEY01,KOHLDSN,MACY02,OVERSTOCK01,TGTDVS</t>
  </si>
  <si>
    <t>SS40-0150</t>
  </si>
  <si>
    <t>SS40-0237</t>
  </si>
  <si>
    <t>Knitted Jacquard Damask Total Blackout Grommet Top Curtain Panel Pair</t>
  </si>
  <si>
    <t>8/7/2023</t>
  </si>
  <si>
    <t>SS41-0008</t>
  </si>
  <si>
    <t>Marble Jacquard Rod Pocket Valance Embellished Trim</t>
  </si>
  <si>
    <t>46x38"</t>
  </si>
  <si>
    <t>AMAZON,ASHFURNDS,BBBDROP,CSNSTORES,JCPENNEY01,KOHLDSN,MACY02,OVERSTOCK01,TGTDVS,WALMARTDS,Zulily</t>
  </si>
  <si>
    <t>SS41-0100</t>
  </si>
  <si>
    <t>SS41-0236</t>
  </si>
  <si>
    <t>JCPENNEY01,OVERSTOCK01</t>
  </si>
  <si>
    <t>8/9/2023</t>
  </si>
  <si>
    <t>ID40-1807</t>
  </si>
  <si>
    <t xml:space="preserve">Intelligent Design </t>
  </si>
  <si>
    <t>Raina</t>
  </si>
  <si>
    <t>Khloe</t>
  </si>
  <si>
    <t>Arielle</t>
  </si>
  <si>
    <t>Total Blackout Metallic Print Grommet Top Curtain Panel</t>
  </si>
  <si>
    <t>White/Silver</t>
  </si>
  <si>
    <t>PP000896;PF004928</t>
  </si>
  <si>
    <t>AMAZON,AMAZONDS,AMERSIGNDS,BBBDROP,BEALLSDS,CSNSTORES,JCPENNEY01,KOHLDSN,MACY02,OVERSTOCK01,TGTDVS</t>
  </si>
  <si>
    <t>ID40-1808</t>
  </si>
  <si>
    <t>AMAZON,AMERSIGNDS,BBBDROP,BEALLSDS,BLK01,CSNSTORES,DESINC,JCPENNEY01,KOHLDSN,MACY02,OVERSTOCK01,TGTDVS,Zulily</t>
  </si>
  <si>
    <t>ID40-1618</t>
  </si>
  <si>
    <t>PF001695;PP000896</t>
  </si>
  <si>
    <t>12/20/2018</t>
  </si>
  <si>
    <t>AMAZON,AMAZONDS,AMERSIGNDS,BBBDROP,BEALLSDS,BLK01,CSNSTORES,JCPENNEY01,KOHLDSN,MACY02,OVERSTOCK01,Zulily</t>
  </si>
  <si>
    <t>12/26/2018</t>
  </si>
  <si>
    <t>2/11/2019</t>
  </si>
  <si>
    <t>ID40-1405</t>
  </si>
  <si>
    <t>AMAZON,AMAZONDS,AMERSIGNDS,BBBDROP,BEALLSDS,BLK01,CSNSTORES,DESINC,JCPENNEY01,KOHLDSN,MACY02,NEBFUR01,OVERSTOCK01,TGTDVS,WALMARTDS,Zulily</t>
  </si>
  <si>
    <t>ID40-1616</t>
  </si>
  <si>
    <t>Blush/Gold</t>
  </si>
  <si>
    <t>PF001696;PP000896</t>
  </si>
  <si>
    <t>AMAZON,AMAZONDS,AMERSIGNDS,BBBDROP,BEALLSDS,BLK01,CSNSTORES,JCPENNEY01,KOHLDSN,MACY02,OVERSTOCK01</t>
  </si>
  <si>
    <t>1/11/2019</t>
  </si>
  <si>
    <t>ID40-1406</t>
  </si>
  <si>
    <t>ID40-1617</t>
  </si>
  <si>
    <t>Aqua/Silver</t>
  </si>
  <si>
    <t>PF001694;PP000896</t>
  </si>
  <si>
    <t>AMAZON,AMAZONDS,BBBDROP,BEALLSDS,BLK01,CSNSTORES,JCPENNEY01,KOHLDSN,MACY02,OVERSTOCK01,Zulily</t>
  </si>
  <si>
    <t>1/22/2019</t>
  </si>
  <si>
    <t>ID40-1407</t>
  </si>
  <si>
    <t>AMAZON,AMAZONDS,BBBDROP,BEALLSDS,BLK01,CSNSTORES,DESINC,JCPENNEY01,KOHLDSN,MACY02,NEBFUR01,OVERSTOCK01,TGTDVS,WALMARTDS</t>
  </si>
  <si>
    <t>10/1/2018</t>
  </si>
  <si>
    <t>ID40-1809</t>
  </si>
  <si>
    <t>Navy/Silver</t>
  </si>
  <si>
    <t>PP000896;PF004929</t>
  </si>
  <si>
    <t>3/27/2020</t>
  </si>
  <si>
    <t>ID40-1810</t>
  </si>
  <si>
    <t>ID40-1615</t>
  </si>
  <si>
    <t>Ivory/Gold</t>
  </si>
  <si>
    <t>PP000896;PF004343</t>
  </si>
  <si>
    <t>10/10/2019</t>
  </si>
  <si>
    <t>ID40-1614</t>
  </si>
  <si>
    <t>ID40-2018</t>
  </si>
  <si>
    <t>Sophie</t>
  </si>
  <si>
    <t>Lauren</t>
  </si>
  <si>
    <t>Ashley</t>
  </si>
  <si>
    <t>Pom Pom Embellished Curtain Panel</t>
  </si>
  <si>
    <t>PF005439;PP001619</t>
  </si>
  <si>
    <t>Polka Dots</t>
  </si>
  <si>
    <t>AMAZON,AMAZONDS,BBBDROP,BLK01,CSNSTORES,KOHLDSN,MACY02,OVERSTOCK01,TGTDVS</t>
  </si>
  <si>
    <t>6/6/2022</t>
  </si>
  <si>
    <t>ID40-2019</t>
  </si>
  <si>
    <t>5/9/2022</t>
  </si>
  <si>
    <t>ID40-1799</t>
  </si>
  <si>
    <t>Pom Pom Embellished Window Panel</t>
  </si>
  <si>
    <t>PF001530;PP001619</t>
  </si>
  <si>
    <t>9/10/2019</t>
  </si>
  <si>
    <t>ID40-1800</t>
  </si>
  <si>
    <t>AMAZON,AMAZONDS,BBBDROP,CSNSTORES,DESINC,JCPENNEY01,KOHLDSN,MACY02,OVERSTOCK01,TGTDVS,WALMARTDS</t>
  </si>
  <si>
    <t>ID40-1795</t>
  </si>
  <si>
    <t>Dusty Blue</t>
  </si>
  <si>
    <t>2/24/2020</t>
  </si>
  <si>
    <t>ID40-1796</t>
  </si>
  <si>
    <t>AMAZON,AMAZONDS,BBBDROP,CSNSTORES,JCPENNEY01,KOHLDSN,MACY02,OVERSTOCK01,TGTDVS,WALMARTDS,Zulily</t>
  </si>
  <si>
    <t>ID40-1797</t>
  </si>
  <si>
    <t>ID40-1798</t>
  </si>
  <si>
    <t>ID40-1788</t>
  </si>
  <si>
    <t>Zoey</t>
  </si>
  <si>
    <t>Liv</t>
  </si>
  <si>
    <t>Nova</t>
  </si>
  <si>
    <t>Total Blackout Printed Metallic Window Panel</t>
  </si>
  <si>
    <t>PP000812;PF004477</t>
  </si>
  <si>
    <t>10/14/2019</t>
  </si>
  <si>
    <t>AMAZON,ASHFURNDS,BBBDROP,CSNSTORES,JCPENNEY01,KOHLDSN,MACY02,OVERSTOCK01,TGTDVS,WALMARTDS</t>
  </si>
  <si>
    <t>ID40-1012</t>
  </si>
  <si>
    <t>Olivia</t>
  </si>
  <si>
    <t>Skye</t>
  </si>
  <si>
    <t>Printed Total Blackout Curtain Panel</t>
  </si>
  <si>
    <t>PF001604</t>
  </si>
  <si>
    <t>6/7/2017</t>
  </si>
  <si>
    <t>AMAZON,AMAZONDS,AMERSIGNDS,BBBDROP,BIGLOTSDS,BLK01,CSNSTORES,JCPENNEY01,KOHLDSN,MACY02,OVERSTOCK01,TGTDVS,WALMARTDS</t>
  </si>
  <si>
    <t>ID40-1011</t>
  </si>
  <si>
    <t>PF001605</t>
  </si>
  <si>
    <t>10/22/2018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</si>
  <si>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</si>
  <si>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</si>
  <si>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</si>
  <si>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</si>
  <si>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</si>
  <si>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</si>
  <si>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</si>
  <si>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6/17/2022</t>
  </si>
  <si>
    <t>ID40-1958</t>
  </si>
  <si>
    <t>Cotton Jacquard Pom Pom Window Panel</t>
  </si>
  <si>
    <t>Green / Navy</t>
  </si>
  <si>
    <t>PP001349;PF005208</t>
  </si>
  <si>
    <t>11/3/2020</t>
  </si>
  <si>
    <t>ID40-1845</t>
  </si>
  <si>
    <t>Annie</t>
  </si>
  <si>
    <t>Whitney</t>
  </si>
  <si>
    <t>Jemma</t>
  </si>
  <si>
    <t>Solid Clipped Jacquard Window Curtain</t>
  </si>
  <si>
    <t>PP001414;PF004961</t>
  </si>
  <si>
    <t>11/11/2019</t>
  </si>
  <si>
    <t>AMAZON,ASHFURNDS,CSNSTORES,DESINC,JCPENNEY01,KOHLDSN,MACY02,OVERSTOCK01,TGTDVS</t>
  </si>
  <si>
    <t>ID40-1844</t>
  </si>
  <si>
    <t>Off-White</t>
  </si>
  <si>
    <t>PP001414;PF004960</t>
  </si>
  <si>
    <t>AMAZON,BBBDROP,CSNSTORES,DESINC,KOHLDSN,MACY02,OVERSTOCK01</t>
  </si>
  <si>
    <t>ID40-1014</t>
  </si>
  <si>
    <t>Adel</t>
  </si>
  <si>
    <t>Kennedy</t>
  </si>
  <si>
    <t>Amanda</t>
  </si>
  <si>
    <t>PF001673</t>
  </si>
  <si>
    <t>AMAZON,AMERSIGNDS,ASHFURNDS,BBBDROP,BEALLSDS,BIGLOTSDS,CSNSTORES,DESINC,JCPENNEY01,KOHLDSN,MACY02,OVERSTOCK01,TGTDVS,WALMARTDS,Zulily</t>
  </si>
  <si>
    <t>ID40-1013</t>
  </si>
  <si>
    <t>PF001672</t>
  </si>
  <si>
    <t>AMAZON,ASHFURNDS,BBBDROP,BEALLSDS,BIGLOTSDS,CSNSTORES,DESINC,JCPENNEY01,KOHLDSN,MACY02,OVERSTOCK01,TGTDVS,WALMARTDS,Zulily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</si>
  <si>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</si>
  <si>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</si>
  <si>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</si>
  <si>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</si>
  <si>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</si>
  <si>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</si>
  <si>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</si>
  <si>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</si>
  <si>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ID40-2024</t>
  </si>
  <si>
    <t>PP001091;PF004576</t>
  </si>
  <si>
    <t>BBBDROP,CSNSTORES,KOHLDSN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</si>
  <si>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</si>
  <si>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</si>
  <si>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</si>
  <si>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</si>
  <si>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</si>
  <si>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</si>
  <si>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</si>
  <si>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</si>
  <si>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</si>
  <si>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10/3/2022</t>
  </si>
  <si>
    <t>ID40-2020</t>
  </si>
  <si>
    <t>10/27/2022</t>
  </si>
  <si>
    <t>ID40-1982</t>
  </si>
  <si>
    <t>Rebecca</t>
  </si>
  <si>
    <t>Natalia</t>
  </si>
  <si>
    <t>Grommet Top Printed Marble Metallic Total Blackout Curtain</t>
  </si>
  <si>
    <t>PF004894;PP001541</t>
  </si>
  <si>
    <t>AMAZON,AMAZONDS,BBBDROP,CSNSTORES,DESINC,KOHLDSN,OVERSTOCK01,TGTDVS</t>
  </si>
  <si>
    <t>ID40-1909</t>
  </si>
  <si>
    <t>3/3/2020</t>
  </si>
  <si>
    <t>AMAZON,BBBDROP,BLK01,CSNSTORES,JCPENNEY01,KOHLDSN,OVERSTOCK01,TGTDVS,WALMARTDS,Zulily</t>
  </si>
  <si>
    <t>6/30/2020</t>
  </si>
  <si>
    <t>5/15/2023</t>
  </si>
  <si>
    <t>ID40-1957</t>
  </si>
  <si>
    <t>PP001541;PF005197</t>
  </si>
  <si>
    <t>10/13/2020</t>
  </si>
  <si>
    <t>CSNSTORES,DESINC,MACY02,OVERSTOCK01,TGTDVS</t>
  </si>
  <si>
    <t>12/17/2020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</si>
  <si>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</si>
  <si>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</si>
  <si>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</si>
  <si>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</si>
  <si>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</si>
  <si>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</si>
  <si>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AMAZON,AMAZONDS,BBBDROP,BEALLSDS,CSNSTORES,JCPENNEY01,KOHLDSN,MACY02,OVERSTOCK01,TGTDVS,WALMARTDS</t>
  </si>
  <si>
    <t>1/11/2017</t>
  </si>
  <si>
    <t>ID40-555</t>
  </si>
  <si>
    <t>AMAZON,AMAZONDS,BBBDROP,BEALLSDS,CSNSTORES,HSNDS,JCPENNEY01,KOHLDSN,MACY02,OVERSTOCK01,TGTDVS,WALMARTDS</t>
  </si>
  <si>
    <t>ID40-554</t>
  </si>
  <si>
    <t>PF003719;PP000465</t>
  </si>
  <si>
    <t>AMAZON,ASHFURNDS,BBBDROP,BEALLSDS,CSNSTORES,JCPENNEY01,KOHLDSN,MACY02,TGTDVS,WALMARTDS</t>
  </si>
  <si>
    <t>12/28/2016</t>
  </si>
  <si>
    <t>ID40-553</t>
  </si>
  <si>
    <t>AMAZON,AMAZONDS,BBBDROP,BEALLSDS,CSNSTORES,HSNDS,JCPENNEY01,KOHLDSN,MACY02,OVERSTOCK01,TGTDVS,Zulily</t>
  </si>
  <si>
    <t>12/22/2016</t>
  </si>
  <si>
    <t>ID40-2232</t>
  </si>
  <si>
    <t>Total Blackout Metallic Print Grommet Top Curtain Panel Pair</t>
  </si>
  <si>
    <t>9/12/2023</t>
  </si>
  <si>
    <t>ID40-2233</t>
  </si>
  <si>
    <t>ID31-1525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</si>
  <si>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</si>
  <si>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</si>
  <si>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</si>
  <si>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</si>
  <si>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</si>
  <si>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</si>
  <si>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</si>
  <si>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AMAZON,AMAZONDS,ASHFURNDS,BBBDROP,BIGLOTSDS,CSNSTORES,KIRKLANDDS,KOHLDSN,MACY02,OVERSTOCK01,TGTDVS,WALMARTDS</t>
  </si>
  <si>
    <t>ID31-1832</t>
  </si>
  <si>
    <t>PF004187;PP000936</t>
  </si>
  <si>
    <t>10/3/2019</t>
  </si>
  <si>
    <t>AMAZON,AMAZONDS,ASHFURNDS,BIGLOTSDS,CSNSTORES,JCPENNEY01,KOHLDSN,MACY02,OVERSTOCK01,TGTDVS,WALMARTDS</t>
  </si>
  <si>
    <t>4/21/2020</t>
  </si>
  <si>
    <t>ID31-1527</t>
  </si>
  <si>
    <t>PF004347;PP000936</t>
  </si>
  <si>
    <t>AMAZON,AMAZONDS,BBBDROP,BIGLOTSDS,CSNSTORES,DESINC,JCPENNEY01,KOHLDSN,MACY02,OVERSTOCK01,TGTDVS,WALMARTDS</t>
  </si>
  <si>
    <t>10/19/2019</t>
  </si>
  <si>
    <t>ID31-1833</t>
  </si>
  <si>
    <t>AMAZON,AMAZONDS,ASHFURNDS,BIGLOTSDS,CSNSTORES,DESINC,JCPENNEY01,KOHLDSN,MACY02,OVERSTOCK01,TGTDVS,WALMARTDS,Zulily</t>
  </si>
  <si>
    <t>ID31-1524</t>
  </si>
  <si>
    <t>AMAZON,AMAZONDS,ASHFURNDS,BBBDROP,BLK01,CSNSTORES,DESINC,JCPENNEY01,KIRKLANDDS,KOHLDSN,MACY02,OVERSTOCK01,TGTDVS,WALMARTDS</t>
  </si>
  <si>
    <t>2/13/2020</t>
  </si>
  <si>
    <t>ID31-1526</t>
  </si>
  <si>
    <t>PF004189;PP000936</t>
  </si>
  <si>
    <t>ID31-2293</t>
  </si>
  <si>
    <t>PP000936;PF006127</t>
  </si>
  <si>
    <t>12/9/2023</t>
  </si>
  <si>
    <t>Accepted</t>
  </si>
  <si>
    <t>ID31-1529</t>
  </si>
  <si>
    <t>Edelia</t>
  </si>
  <si>
    <t>Arwen</t>
  </si>
  <si>
    <t>Alder</t>
  </si>
  <si>
    <t>Poly Chenille Lounge Floor Pillow Cushion</t>
  </si>
  <si>
    <t>27" x 74"</t>
  </si>
  <si>
    <t>PF004189;PP000937</t>
  </si>
  <si>
    <t>AMAZON,AMAZONDS,ASHFURNDS,BBBDROP,BEALLSDS,BLK01,CSNSTORES,KIRKLANDDS,KOHLDSN,OVERSTOCK01,TGTDVS,WALMARTDS</t>
  </si>
  <si>
    <t>ID31-1528</t>
  </si>
  <si>
    <t>PF004187;PP000937</t>
  </si>
  <si>
    <t>AMAZON,AMAZONDS,ASHFURNDS,BBBDROP,BEALLSDS,CSNSTORES,JCPENNEY01,KIRKLANDDS,KOHLDSN,OVERSTOCK01,TGTDVS,WALMARTDS</t>
  </si>
  <si>
    <t>5/8/2023</t>
  </si>
  <si>
    <t>ID31-1933</t>
  </si>
  <si>
    <t>PF004188;PP000937</t>
  </si>
  <si>
    <t>7/2/2020</t>
  </si>
  <si>
    <t>AMAZON,AMAZONDS,ASHFURNDS,BBBDROP,CSNSTORES,KOHLDSN,OVERSTOCK01,TGTDVS</t>
  </si>
  <si>
    <t>ID31-1932</t>
  </si>
  <si>
    <t>AMAZON,AMAZONDS,ASHFURNDS,BBBDROP,BLK01,CSNSTORES,KOHLDSN,OVERSTOCK01,TGTDVS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</si>
  <si>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</si>
  <si>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</si>
  <si>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</si>
  <si>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</si>
  <si>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</si>
  <si>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</si>
  <si>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</si>
  <si>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</si>
  <si>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ID31-2035</t>
  </si>
  <si>
    <t>ID31-2034</t>
  </si>
  <si>
    <t>ID31-2033</t>
  </si>
  <si>
    <t>AMAZON</t>
  </si>
  <si>
    <t>10/25/2022</t>
  </si>
  <si>
    <t>II40-1180</t>
  </si>
  <si>
    <t>INK+IVY</t>
  </si>
  <si>
    <t>Imani</t>
  </si>
  <si>
    <t>Cotton Printed Curtain Panel with Chenille Stripe and Lining</t>
  </si>
  <si>
    <t>PF004112;PP001556</t>
  </si>
  <si>
    <t>2/6/2024</t>
  </si>
  <si>
    <t>II40-1292</t>
  </si>
  <si>
    <t>II40-1234</t>
  </si>
  <si>
    <t>PF005068;PP001556</t>
  </si>
  <si>
    <t>2/2/2022</t>
  </si>
  <si>
    <t>1/8/2024</t>
  </si>
  <si>
    <t>AMAZONDS,CSNSTORES,DESINC,KOHLDSN,MACY02,OVERSTOCK01</t>
  </si>
  <si>
    <t>II40-1181</t>
  </si>
  <si>
    <t>PF005067;PP001556</t>
  </si>
  <si>
    <t>AMAZON,AMAZONDS,ASHFURNDS,BBBDROP,BLK01,CSNSTORES,KOHLDSN,MACY02,OVERSTOCK01,TGTDVS</t>
  </si>
  <si>
    <t>7/11/2022</t>
  </si>
  <si>
    <t>II40-1293</t>
  </si>
  <si>
    <t>9/13/2023</t>
  </si>
  <si>
    <t>II40-1294</t>
  </si>
  <si>
    <t>White/Navy</t>
  </si>
  <si>
    <t>PP000428;PF005760</t>
  </si>
  <si>
    <t>3/6/2024</t>
  </si>
  <si>
    <t>II40-1295</t>
  </si>
  <si>
    <t>II40-1183</t>
  </si>
  <si>
    <t>Mila</t>
  </si>
  <si>
    <t>Cotton Printed Curtain Panel with Chenille detail and Lining</t>
  </si>
  <si>
    <t>PP001321;PF005135</t>
  </si>
  <si>
    <t>Boho</t>
  </si>
  <si>
    <t>Global Inspired</t>
  </si>
  <si>
    <t>5/20/2021</t>
  </si>
  <si>
    <t>3/27/2024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</si>
  <si>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</si>
  <si>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</si>
  <si>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</si>
  <si>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</si>
  <si>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</si>
  <si>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</si>
  <si>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</si>
  <si>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</si>
  <si>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</si>
  <si>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</si>
  <si>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</si>
  <si>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</si>
  <si>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8/17/2022</t>
  </si>
  <si>
    <t>9/20/2022</t>
  </si>
  <si>
    <t>II30-758</t>
  </si>
  <si>
    <t>Aero</t>
  </si>
  <si>
    <t>Embroidered Abstract Oblong Pillow</t>
  </si>
  <si>
    <t>12x20"</t>
  </si>
  <si>
    <t>PF003365;PP001477</t>
  </si>
  <si>
    <t>AMAZON,AMAZONDS,BBBDROP,BEALLSDS,CSNSTORES,KOHLDSN,MACY02,OVERSTOCK01,TGTDVS</t>
  </si>
  <si>
    <t>5/6/2018</t>
  </si>
  <si>
    <t>II30-792</t>
  </si>
  <si>
    <t>Embroidered Abstract Square Pillow</t>
  </si>
  <si>
    <t>II30-1099</t>
  </si>
  <si>
    <t>Charcoal/Black</t>
  </si>
  <si>
    <t>3/6/2020</t>
  </si>
  <si>
    <t>II30-1098</t>
  </si>
  <si>
    <t>AMAZON,BBBDROP,KOHLDSN,MACY02,OVERSTOCK01,TGTDVS</t>
  </si>
  <si>
    <t>II30-759</t>
  </si>
  <si>
    <t>II30-751</t>
  </si>
  <si>
    <t>Lars</t>
  </si>
  <si>
    <t>Embroidered Stripe Decorative Pillow</t>
  </si>
  <si>
    <t>PF003365</t>
  </si>
  <si>
    <t>II30-752</t>
  </si>
  <si>
    <t>AMAZON,BBBDROP,BEALLSDS,CSNSTORES,DESINC,KOHLDSN,MACY02,OVERSTOCK01,TGTDVS</t>
  </si>
  <si>
    <t>BR40-3094</t>
  </si>
  <si>
    <t>Beautyrest</t>
  </si>
  <si>
    <t>Francis</t>
  </si>
  <si>
    <t>Geo Jacquard Total Blackout Magnetic Closure Panel Pair</t>
  </si>
  <si>
    <t>2-PK 42x84"</t>
  </si>
  <si>
    <t>PP001655;PF005532</t>
  </si>
  <si>
    <t>3/29/2021</t>
  </si>
  <si>
    <t>AMAZONDS,CSNSTORES,JCPENNEY01,KOHLDSN,MACY02,NORDSTRACKDS,OVERSTOCK01</t>
  </si>
  <si>
    <t>6/27/2022</t>
  </si>
  <si>
    <t>BR40-3096</t>
  </si>
  <si>
    <t>PP001655;PF005534</t>
  </si>
  <si>
    <t>AMAZON,AMAZONDS,CSNSTORES,JCPENNEY01,KOHLDSN,MACY02</t>
  </si>
  <si>
    <t>6/21/2022</t>
  </si>
  <si>
    <t>BR40-3095</t>
  </si>
  <si>
    <t>PP001655;PF005533</t>
  </si>
  <si>
    <t>CSNSTORES,KOHLDSN,MACY02,NORDSTRACKDS</t>
  </si>
  <si>
    <t>6/30/2022</t>
  </si>
  <si>
    <t>BR40-3091</t>
  </si>
  <si>
    <t>Cannes</t>
  </si>
  <si>
    <t>Ogee Jacquard Total Blackout Magnetic Closure Panel Pair</t>
  </si>
  <si>
    <t>PP001656;PF005535</t>
  </si>
  <si>
    <t>BBBDROP,CSNSTORES,JCPENNEY01,KOHLDSN,MACY02,NORDSTRACKDS,OVERSTOCK01,TGTDVS</t>
  </si>
  <si>
    <t>BR40-3093</t>
  </si>
  <si>
    <t>PP001656;PF005537</t>
  </si>
  <si>
    <t>CSNSTORES,JCPENNEY01,MACY02,NORDSTRACKDS,TGTDVS</t>
  </si>
  <si>
    <t>5/17/2022</t>
  </si>
  <si>
    <t>BR40-3092</t>
  </si>
  <si>
    <t>PP001656;PF005536</t>
  </si>
  <si>
    <t>AMAZON,AMAZONDS,CSNSTORES,JCPENNEY01,MACY02,OVERSTOCK01,TGTDVS</t>
  </si>
  <si>
    <t>BR40-3081</t>
  </si>
  <si>
    <t>Rocky</t>
  </si>
  <si>
    <t>Solid Textured Jacquard Total Blackout Magnetic Closure Panel Pair</t>
  </si>
  <si>
    <t>PP001654;PF005529</t>
  </si>
  <si>
    <t>BR40-3082</t>
  </si>
  <si>
    <t>AMAZON,AMAZONDS,BBBDROP,CSNSTORES,JCPENNEY01,KOHLDSN,MACY02,NORDSTRACKDS,OVERSTOCK01,TGTDVS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</si>
  <si>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</si>
  <si>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</si>
  <si>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</si>
  <si>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</si>
  <si>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</si>
  <si>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</si>
  <si>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</si>
  <si>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</si>
  <si>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</si>
  <si>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</si>
  <si>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ASHFURNDS,BBBDROP,BIGLOTSDS,CSNSTORES,DESINC,HDDS,JCPENNEY01,KOHLDSN,MACY02,OVERSTOCK01,TGTDVS,WALMARTDS</t>
  </si>
  <si>
    <t>5DS40-0152</t>
  </si>
  <si>
    <t>37x84"</t>
  </si>
  <si>
    <t>3/14/2024</t>
  </si>
  <si>
    <t>AMAZON,ASHFURNDS,BBBDROP,BIGLOTSDS,BLK01,CSNSTORES,HDDS,JCPENNEY01,KOHLDSN,MACY02,OVERSTOCK01,TGTDVS,WALMARTDS</t>
  </si>
  <si>
    <t>5DS40-0153</t>
  </si>
  <si>
    <t>37x95"</t>
  </si>
  <si>
    <t>AMAZON,ASHFURNDS,BBBDROP,BLK01,CSNSTORES,DESINC,HDDS,JCPENNEY01,KOHLDSN,MACY02,OVERSTOCK01,TGTDVS,WALMARTDS</t>
  </si>
  <si>
    <t>5DS40-0154</t>
  </si>
  <si>
    <t>PP000910;PF004316</t>
  </si>
  <si>
    <t>BBBDROP,BIGLOTSDS,BLK01,CSNSTORES,JCPENNEY01,KOHLDSN,MACY02,OVERSTOCK01,TGTDVS,WALMARTDS</t>
  </si>
  <si>
    <t>5DS40-0155</t>
  </si>
  <si>
    <t>ASHFURNDS,BBBDROP,BLK01,CSNSTORES,JCPENNEY01,MACY02,OVERSTOCK01,TGTDVS,WALMARTDS</t>
  </si>
  <si>
    <t>5DS40-0156</t>
  </si>
  <si>
    <t>AMAZON,BBBDROP,BLK01,CSNSTORES,JCPENNEY01,KIRKLANDDS,MACY02,OVERSTOCK01,TGTDVS,WALMARTDS</t>
  </si>
  <si>
    <t>5DS40-0227</t>
  </si>
  <si>
    <t>PP000910;PF005231</t>
  </si>
  <si>
    <t>10/7/2020</t>
  </si>
  <si>
    <t>BBBDROP,CSNSTORES,JCPENNEY01,KOHLDSN,MACY02,TGTDVS</t>
  </si>
  <si>
    <t>5DS40-0228</t>
  </si>
  <si>
    <t>BBBDROP,CSNSTORES,JCPENNEY01,MACY02,OVERSTOCK01,TGTDVS</t>
  </si>
  <si>
    <t>5DS40-0229</t>
  </si>
  <si>
    <t>ASHFURNDS,BBBDROP,CSNSTORES,JCPENNEY01,MACY02,OVERSTOCK01,TGTDVS,WALMARTDS</t>
  </si>
  <si>
    <t>5DS40-0160</t>
  </si>
  <si>
    <t>PP000910;PF004318</t>
  </si>
  <si>
    <t>AMAZON,ASHFURNDS,BBBDROP,BIGLOTSDS,BLK01,CSNSTORES,JCPENNEY01,KIRKLANDDS,KOHLDSN,MACY02,TGTDVS,WALMARTDS</t>
  </si>
  <si>
    <t>5DS40-0161</t>
  </si>
  <si>
    <t>AMAZON,BBBDROP,BIGLOTSDS,BLK01,CSNSTORES,HDDS,JCPENNEY01,KIRKLANDDS,KOHLDSN,MACY02,OVERSTOCK01,TGTDVS,WALMARTDS</t>
  </si>
  <si>
    <t>5DS40-0162</t>
  </si>
  <si>
    <t>AMAZON,ASHFURNDS,BBBDROP,BIGLOTSDS,BLK01,CSNSTORES,DESINC,HDDS,JCPENNEY01,KIRKLANDDS,KOHLDSN,MACY02,TGTDVS,WALMARTDS</t>
  </si>
  <si>
    <t>5DS40-0283</t>
  </si>
  <si>
    <t>PP000910;PF006007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</si>
  <si>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</si>
  <si>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</si>
  <si>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</si>
  <si>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</si>
  <si>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</si>
  <si>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</si>
  <si>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</si>
  <si>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</si>
  <si>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</si>
  <si>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</si>
  <si>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MZK40-229</t>
  </si>
  <si>
    <t>Mi Zone Kids</t>
  </si>
  <si>
    <t>Alicia</t>
  </si>
  <si>
    <t>Mia</t>
  </si>
  <si>
    <t>Rainbow with Metallic Printed Total Blackout Curtain Panel</t>
  </si>
  <si>
    <t>PF004574</t>
  </si>
  <si>
    <t>Novelty</t>
  </si>
  <si>
    <t>AMAZONDS,CSNSTORES,DESINC,JCPENNEY01,KOHLDSN,MACY02,OVERSTOCK01,TGTDVS</t>
  </si>
  <si>
    <t>7/14/2022</t>
  </si>
  <si>
    <t>MZK40-228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</si>
  <si>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</si>
  <si>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</si>
  <si>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</si>
  <si>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</si>
  <si>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</si>
  <si>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</si>
  <si>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</si>
  <si>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</si>
  <si>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MZK40-140</t>
  </si>
  <si>
    <t>AMAZON,AMAZONDS,BBBDROP,BIGLOTSDS,BLK01,CSNSTORES,JCPENNEY01,KOHLDSN,MACY02,OVERSTOCK01,TGTDVS,WALMARTDS,Zulily</t>
  </si>
  <si>
    <t>UH40-2165</t>
  </si>
  <si>
    <t>Urban Habitat</t>
  </si>
  <si>
    <t>Maize</t>
  </si>
  <si>
    <t>Kay</t>
  </si>
  <si>
    <t>Cotton Jacquard Pom Pom Rod Pocket/Back Tab Window Panel</t>
  </si>
  <si>
    <t>PF002470;PP000834</t>
  </si>
  <si>
    <t>10/18/2018</t>
  </si>
  <si>
    <t>UH40-2166</t>
  </si>
  <si>
    <t>AMAZON,ASHFURNDS,BBBDROP,CSNSTORES,KOHLDSN,MACY02,OVERSTOCK01,WALMARTDS,Zulily</t>
  </si>
  <si>
    <t>UH40-2167</t>
  </si>
  <si>
    <t>AMAZON,AMAZONDS,ASHFURNDS,BBBDROP,CSNSTORES,DESINC,KOHLDSN,MACY02,OVERSTOCK01,TGTDVS,WALMARTDS</t>
  </si>
  <si>
    <t>UH40-2171</t>
  </si>
  <si>
    <t>PF002471;PP000834</t>
  </si>
  <si>
    <t>AMAZON,AMAZONDS,ASHFURNDS,BBBDROP,KOHLDSN,MACY02,OVERSTOCK01,TGTDVS</t>
  </si>
  <si>
    <t>UH40-2172</t>
  </si>
  <si>
    <t>UH40-2173</t>
  </si>
  <si>
    <t>AMAZON,AMAZONDS,ASHFURNDS,BBBDROP,CSNSTORES,KOHLDSN,MACY02,OVERSTOCK01,TGTDVS,WALMARTDS,Zulily</t>
  </si>
  <si>
    <t>UH40-2177</t>
  </si>
  <si>
    <t>PP000834;PF004166</t>
  </si>
  <si>
    <t>UH40-2178</t>
  </si>
  <si>
    <t>AMAZON,BBBDROP,CSNSTORES,KOHLDSN,MACY02,OVERSTOCK01</t>
  </si>
  <si>
    <t>UH40-2179</t>
  </si>
  <si>
    <t>11/9/2018</t>
  </si>
  <si>
    <t>UH40-2369</t>
  </si>
  <si>
    <t>PP000834;PF004683</t>
  </si>
  <si>
    <t>10/5/2020</t>
  </si>
  <si>
    <t>BBBDROP,CSNSTORES,DESINC,KOHLDSN,MACY02,OVERSTOCK01,TGTDVS</t>
  </si>
  <si>
    <t>12/9/2020</t>
  </si>
  <si>
    <t>UH40-2370</t>
  </si>
  <si>
    <t>UH40-2371</t>
  </si>
  <si>
    <t>UH40-2373</t>
  </si>
  <si>
    <t>PP000834;PF004684</t>
  </si>
  <si>
    <t>UH40-2374</t>
  </si>
  <si>
    <t>UH40-2375</t>
  </si>
  <si>
    <t>UH40-2168</t>
  </si>
  <si>
    <t>Cotton Jacquard Pom Pom Rod Pocket/Back Tab Window Valance</t>
  </si>
  <si>
    <t>AMAZON,BBBDROP,CSNSTORES,DESINC,KOHLDSN,MACY02,OVERSTOCK01,TGTDVS,WALMARTDS,Zulily</t>
  </si>
  <si>
    <t>UH40-2372</t>
  </si>
  <si>
    <t>Cotton Jacquard Pom Pom Window Valance</t>
  </si>
  <si>
    <t>UH40-2180</t>
  </si>
  <si>
    <t>UH40-2376</t>
  </si>
  <si>
    <t>CSNSTORES,KOHLDSN,MACY02</t>
  </si>
  <si>
    <t>UH31-2335</t>
  </si>
  <si>
    <t>Cotton Jacquard Square Floor Pillow Cushion</t>
  </si>
  <si>
    <t>20x20x5"</t>
  </si>
  <si>
    <t>Casual|Shabby Chic</t>
  </si>
  <si>
    <t>CSNSTORES,KOHLDSN,MACY02,OVERSTOCK01,TGTDVS,WALMARTDS</t>
  </si>
  <si>
    <t>UH31-2336</t>
  </si>
  <si>
    <t>7/9/2020</t>
  </si>
  <si>
    <t>UH31-2337</t>
  </si>
  <si>
    <t>CSNSTORES,KOHLDSN,MACY02,OVERSTOCK01,TGTDVS,Zulily</t>
  </si>
  <si>
    <t>6/18/2020</t>
  </si>
  <si>
    <t>UH30-2378</t>
  </si>
  <si>
    <t>Cotton Jacquard Pom Pom Oblong Pillow</t>
  </si>
  <si>
    <t>4/8/2021</t>
  </si>
  <si>
    <t>KOHLDSN,TGTDVS</t>
  </si>
  <si>
    <t>UH30-2377</t>
  </si>
  <si>
    <t>Cotton Jacquard Pom Pom Square Pillow</t>
  </si>
  <si>
    <t>CSNSTORES,KOHLDSN,TGTDVS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</si>
  <si>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</si>
  <si>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</si>
  <si>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</si>
  <si>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</si>
  <si>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</si>
  <si>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</si>
  <si>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</si>
  <si>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DLCROSCILL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</si>
  <si>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</si>
  <si>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</si>
  <si>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</si>
  <si>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</si>
  <si>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</si>
  <si>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</si>
  <si>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CCL40-0047</t>
  </si>
  <si>
    <t>CCL40-0049</t>
  </si>
  <si>
    <t>Waterfall Valance (Single)</t>
  </si>
  <si>
    <t>CCL40-0045</t>
  </si>
  <si>
    <t>CCL40-0044</t>
  </si>
  <si>
    <t>CCL40-0046</t>
  </si>
  <si>
    <t>CCL40-0051</t>
  </si>
  <si>
    <t>CCL40-0050</t>
  </si>
  <si>
    <t>CCL40-0052</t>
  </si>
  <si>
    <t>CCL40-0042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</si>
  <si>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</si>
  <si>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</si>
  <si>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</si>
  <si>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</si>
  <si>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</si>
  <si>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</si>
  <si>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</si>
  <si>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</si>
  <si>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CCL40-0060</t>
  </si>
  <si>
    <t>Vicenza</t>
  </si>
  <si>
    <t>Invertible Curtain Panel (Single)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</si>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</sst>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9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16</v>
      </c>
      <c r="M6" s="3">
        <v>16.8</v>
      </c>
      <c r="N6" s="3">
        <v>39.99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1677</v>
      </c>
      <c r="AA6" s="4">
        <f>=ROUNDDOWN(12.9,0)</f>
      </c>
      <c r="AB6" s="5">
        <v>130</v>
      </c>
      <c r="AC6" s="2" t="s">
        <v>105</v>
      </c>
      <c r="AD6" s="4">
        <v>292</v>
      </c>
      <c r="AE6" s="4">
        <v>2288</v>
      </c>
      <c r="AF6" s="6">
        <v>65</v>
      </c>
      <c r="AG6" s="6"/>
      <c r="AH6" s="7">
        <v>1</v>
      </c>
      <c r="AI6" s="4">
        <v>2</v>
      </c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43</v>
      </c>
      <c r="AQ6" s="8">
        <v>722.4</v>
      </c>
      <c r="AR6" s="4">
        <v>257</v>
      </c>
      <c r="AS6" s="8">
        <v>3505.48</v>
      </c>
      <c r="AT6" s="7">
        <v>-0.8327</v>
      </c>
      <c r="AU6" s="7">
        <v>-0.7939</v>
      </c>
      <c r="AV6" s="4">
        <v>111</v>
      </c>
      <c r="AW6" s="8">
        <v>2294.4</v>
      </c>
      <c r="AX6" s="4">
        <v>647</v>
      </c>
      <c r="AY6" s="8">
        <v>9712.9</v>
      </c>
      <c r="AZ6" s="7">
        <v>-0.8284</v>
      </c>
      <c r="BA6" s="7">
        <v>-0.7638</v>
      </c>
      <c r="BB6" s="7">
        <v>0.3149</v>
      </c>
      <c r="BC6" s="4">
        <v>572</v>
      </c>
      <c r="BD6" s="8">
        <v>11454.4</v>
      </c>
      <c r="BE6" s="4">
        <v>3034</v>
      </c>
      <c r="BF6" s="8">
        <v>45244.33</v>
      </c>
      <c r="BG6" s="7">
        <v>-0.8115</v>
      </c>
      <c r="BH6" s="7">
        <v>-0.7468</v>
      </c>
      <c r="BI6" s="7">
        <v>0.2003</v>
      </c>
      <c r="BJ6" s="4">
        <v>1665</v>
      </c>
      <c r="BK6" s="8">
        <v>24730.18</v>
      </c>
      <c r="BL6" s="2" t="s">
        <v>106</v>
      </c>
      <c r="BM6" s="7">
        <v>0.0258</v>
      </c>
      <c r="BN6" s="7">
        <v>0.0292</v>
      </c>
      <c r="BO6" s="4">
        <v>43</v>
      </c>
      <c r="BP6" s="8">
        <v>722.4</v>
      </c>
      <c r="BQ6" s="4">
        <v>257</v>
      </c>
      <c r="BR6" s="8">
        <v>3505.48</v>
      </c>
      <c r="BS6" s="7">
        <v>-0.8327</v>
      </c>
      <c r="BT6" s="7">
        <v>-0.7939</v>
      </c>
      <c r="BU6" s="2" t="s">
        <v>107</v>
      </c>
      <c r="BV6" s="2" t="s">
        <v>108</v>
      </c>
      <c r="BW6" s="2" t="s">
        <v>109</v>
      </c>
      <c r="BX6" s="2" t="s">
        <v>110</v>
      </c>
      <c r="BY6" s="2" t="s">
        <v>111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17.1</v>
      </c>
      <c r="M7" s="3">
        <v>17.96</v>
      </c>
      <c r="N7" s="3">
        <v>44.99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1068</v>
      </c>
      <c r="AA7" s="4">
        <f>=ROUNDDOWN(12.1363636363636,0)</f>
      </c>
      <c r="AB7" s="5">
        <v>88</v>
      </c>
      <c r="AC7" s="2" t="s">
        <v>114</v>
      </c>
      <c r="AD7" s="4">
        <v>80</v>
      </c>
      <c r="AE7" s="4">
        <v>1608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>
        <v>242</v>
      </c>
      <c r="AS7" s="8">
        <v>3482.38</v>
      </c>
      <c r="AT7" s="7">
        <v>-1</v>
      </c>
      <c r="AU7" s="7">
        <v>-1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1046</v>
      </c>
      <c r="BK7" s="8">
        <v>16886.12</v>
      </c>
      <c r="BL7" s="2" t="s">
        <v>115</v>
      </c>
      <c r="BM7" s="7"/>
      <c r="BN7" s="7"/>
      <c r="BO7" s="4"/>
      <c r="BP7" s="8"/>
      <c r="BQ7" s="4">
        <v>242</v>
      </c>
      <c r="BR7" s="8">
        <v>3482.38</v>
      </c>
      <c r="BS7" s="7">
        <v>-1</v>
      </c>
      <c r="BT7" s="7">
        <v>-1</v>
      </c>
      <c r="BU7" s="2" t="s">
        <v>107</v>
      </c>
      <c r="BV7" s="2" t="s">
        <v>108</v>
      </c>
      <c r="BW7" s="2" t="s">
        <v>109</v>
      </c>
      <c r="BX7" s="2" t="s">
        <v>116</v>
      </c>
      <c r="BY7" s="2" t="s">
        <v>111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118</v>
      </c>
      <c r="K8" s="2" t="s">
        <v>94</v>
      </c>
      <c r="L8" s="3">
        <v>21</v>
      </c>
      <c r="M8" s="3">
        <v>22.05</v>
      </c>
      <c r="N8" s="3">
        <v>49.99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104</v>
      </c>
      <c r="Z8" s="4">
        <v>866</v>
      </c>
      <c r="AA8" s="4">
        <f>=ROUNDDOWN(14.1967213114754,0)</f>
      </c>
      <c r="AB8" s="5">
        <v>61</v>
      </c>
      <c r="AC8" s="2" t="s">
        <v>114</v>
      </c>
      <c r="AD8" s="4">
        <v>84</v>
      </c>
      <c r="AE8" s="4">
        <v>1104</v>
      </c>
      <c r="AF8" s="6">
        <v>65</v>
      </c>
      <c r="AG8" s="6"/>
      <c r="AH8" s="7">
        <v>1</v>
      </c>
      <c r="AI8" s="4">
        <v>1</v>
      </c>
      <c r="AJ8" s="4">
        <f>=ROUNDDOWN(10,0)</f>
      </c>
      <c r="AK8" s="5">
        <v>0.1</v>
      </c>
      <c r="AL8" s="2" t="s">
        <v>98</v>
      </c>
      <c r="AM8" s="4"/>
      <c r="AN8" s="4"/>
      <c r="AO8" s="7">
        <v>0.8333</v>
      </c>
      <c r="AP8" s="4">
        <v>18</v>
      </c>
      <c r="AQ8" s="8">
        <v>405</v>
      </c>
      <c r="AR8" s="4">
        <v>112</v>
      </c>
      <c r="AS8" s="8">
        <v>2001.44</v>
      </c>
      <c r="AT8" s="7">
        <v>-0.8393</v>
      </c>
      <c r="AU8" s="7">
        <v>-0.7976</v>
      </c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0.1765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674</v>
      </c>
      <c r="BK8" s="8">
        <v>13484.01</v>
      </c>
      <c r="BL8" s="2" t="s">
        <v>119</v>
      </c>
      <c r="BM8" s="7">
        <v>0.0267</v>
      </c>
      <c r="BN8" s="7">
        <v>0.03</v>
      </c>
      <c r="BO8" s="4">
        <v>18</v>
      </c>
      <c r="BP8" s="8">
        <v>405</v>
      </c>
      <c r="BQ8" s="4">
        <v>112</v>
      </c>
      <c r="BR8" s="8">
        <v>2001.44</v>
      </c>
      <c r="BS8" s="7">
        <v>-0.8393</v>
      </c>
      <c r="BT8" s="7">
        <v>-0.7976</v>
      </c>
      <c r="BU8" s="2" t="s">
        <v>107</v>
      </c>
      <c r="BV8" s="2" t="s">
        <v>108</v>
      </c>
      <c r="BW8" s="2" t="s">
        <v>109</v>
      </c>
      <c r="BX8" s="2" t="s">
        <v>120</v>
      </c>
      <c r="BY8" s="2" t="s">
        <v>111</v>
      </c>
    </row>
    <row r="9">
      <c r="A9" s="2" t="s">
        <v>121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122</v>
      </c>
      <c r="K9" s="2" t="s">
        <v>94</v>
      </c>
      <c r="L9" s="3">
        <v>23.1</v>
      </c>
      <c r="M9" s="3">
        <v>24.26</v>
      </c>
      <c r="N9" s="3">
        <v>54.99</v>
      </c>
      <c r="O9" s="2" t="s">
        <v>95</v>
      </c>
      <c r="P9" s="2" t="s">
        <v>123</v>
      </c>
      <c r="Q9" s="2" t="s">
        <v>97</v>
      </c>
      <c r="R9" s="2" t="s">
        <v>98</v>
      </c>
      <c r="S9" s="2" t="s">
        <v>99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104</v>
      </c>
      <c r="Z9" s="4">
        <v>177</v>
      </c>
      <c r="AA9" s="4">
        <f>=ROUNDDOWN(8.85,0)</f>
      </c>
      <c r="AB9" s="5">
        <v>20</v>
      </c>
      <c r="AC9" s="2" t="s">
        <v>105</v>
      </c>
      <c r="AD9" s="4">
        <v>104</v>
      </c>
      <c r="AE9" s="4">
        <v>400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1</v>
      </c>
      <c r="AP9" s="4">
        <v>15</v>
      </c>
      <c r="AQ9" s="8">
        <v>379.5</v>
      </c>
      <c r="AR9" s="4">
        <v>36</v>
      </c>
      <c r="AS9" s="8">
        <v>723.6</v>
      </c>
      <c r="AT9" s="7">
        <v>-0.5833</v>
      </c>
      <c r="AU9" s="7">
        <v>-0.4755</v>
      </c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0.1654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300</v>
      </c>
      <c r="BK9" s="8">
        <v>6857.16</v>
      </c>
      <c r="BL9" s="2" t="s">
        <v>124</v>
      </c>
      <c r="BM9" s="7">
        <v>0.05</v>
      </c>
      <c r="BN9" s="7">
        <v>0.0553</v>
      </c>
      <c r="BO9" s="4">
        <v>15</v>
      </c>
      <c r="BP9" s="8">
        <v>379.5</v>
      </c>
      <c r="BQ9" s="4">
        <v>36</v>
      </c>
      <c r="BR9" s="8">
        <v>723.6</v>
      </c>
      <c r="BS9" s="7">
        <v>-0.5833</v>
      </c>
      <c r="BT9" s="7">
        <v>-0.4755</v>
      </c>
      <c r="BU9" s="2" t="s">
        <v>107</v>
      </c>
      <c r="BV9" s="2" t="s">
        <v>108</v>
      </c>
      <c r="BW9" s="2" t="s">
        <v>109</v>
      </c>
      <c r="BX9" s="2" t="s">
        <v>125</v>
      </c>
      <c r="BY9" s="2" t="s">
        <v>111</v>
      </c>
    </row>
    <row r="10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127</v>
      </c>
      <c r="J10" s="2" t="s">
        <v>128</v>
      </c>
      <c r="K10" s="2" t="s">
        <v>94</v>
      </c>
      <c r="L10" s="3">
        <v>20.25</v>
      </c>
      <c r="M10" s="3">
        <v>21.26</v>
      </c>
      <c r="N10" s="3">
        <v>44.99</v>
      </c>
      <c r="O10" s="2" t="s">
        <v>95</v>
      </c>
      <c r="P10" s="2" t="s">
        <v>129</v>
      </c>
      <c r="Q10" s="2" t="s">
        <v>97</v>
      </c>
      <c r="R10" s="2" t="s">
        <v>98</v>
      </c>
      <c r="S10" s="2" t="s">
        <v>99</v>
      </c>
      <c r="T10" s="2" t="s">
        <v>98</v>
      </c>
      <c r="U10" s="2" t="s">
        <v>100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391</v>
      </c>
      <c r="AA10" s="4">
        <f>=ROUNDDOWN({0},0)</f>
      </c>
      <c r="AB10" s="5"/>
      <c r="AC10" s="2" t="s">
        <v>132</v>
      </c>
      <c r="AD10" s="4">
        <v>48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35</v>
      </c>
      <c r="AQ10" s="8">
        <v>787.5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0.3432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317</v>
      </c>
      <c r="BK10" s="8">
        <v>6866.82</v>
      </c>
      <c r="BL10" s="2" t="s">
        <v>133</v>
      </c>
      <c r="BM10" s="7">
        <v>0.1104</v>
      </c>
      <c r="BN10" s="7">
        <v>0.1147</v>
      </c>
      <c r="BO10" s="4">
        <v>35</v>
      </c>
      <c r="BP10" s="8">
        <v>787.5</v>
      </c>
      <c r="BQ10" s="4"/>
      <c r="BR10" s="8"/>
      <c r="BS10" s="7"/>
      <c r="BT10" s="7"/>
      <c r="BU10" s="2" t="s">
        <v>107</v>
      </c>
      <c r="BV10" s="2" t="s">
        <v>108</v>
      </c>
      <c r="BW10" s="2" t="s">
        <v>134</v>
      </c>
      <c r="BX10" s="2" t="s">
        <v>135</v>
      </c>
      <c r="BY10" s="2" t="s">
        <v>111</v>
      </c>
    </row>
    <row r="11">
      <c r="A11" s="2" t="s">
        <v>136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137</v>
      </c>
      <c r="L11" s="3">
        <v>16</v>
      </c>
      <c r="M11" s="3">
        <v>16.8</v>
      </c>
      <c r="N11" s="3">
        <v>39.99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138</v>
      </c>
      <c r="T11" s="2" t="s">
        <v>98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104</v>
      </c>
      <c r="Z11" s="4">
        <v>840</v>
      </c>
      <c r="AA11" s="4">
        <f>=ROUNDDOWN(10.9090909090909,0)</f>
      </c>
      <c r="AB11" s="5">
        <v>77</v>
      </c>
      <c r="AC11" s="2" t="s">
        <v>105</v>
      </c>
      <c r="AD11" s="4">
        <v>60</v>
      </c>
      <c r="AE11" s="4">
        <v>1796</v>
      </c>
      <c r="AF11" s="6">
        <v>65</v>
      </c>
      <c r="AG11" s="6"/>
      <c r="AH11" s="7">
        <v>1</v>
      </c>
      <c r="AI11" s="4">
        <v>1</v>
      </c>
      <c r="AJ11" s="4">
        <f>=ROUNDDOWN(3.33333333333333,0)</f>
      </c>
      <c r="AK11" s="5">
        <v>0.3</v>
      </c>
      <c r="AL11" s="2" t="s">
        <v>98</v>
      </c>
      <c r="AM11" s="4"/>
      <c r="AN11" s="4"/>
      <c r="AO11" s="7">
        <v>1</v>
      </c>
      <c r="AP11" s="4">
        <v>30</v>
      </c>
      <c r="AQ11" s="8">
        <v>504</v>
      </c>
      <c r="AR11" s="4">
        <v>277</v>
      </c>
      <c r="AS11" s="8">
        <v>3778.28</v>
      </c>
      <c r="AT11" s="7">
        <v>-0.8917</v>
      </c>
      <c r="AU11" s="7">
        <v>-0.8666</v>
      </c>
      <c r="AV11" s="4">
        <v>102</v>
      </c>
      <c r="AW11" s="8">
        <v>2053.5</v>
      </c>
      <c r="AX11" s="4">
        <v>601</v>
      </c>
      <c r="AY11" s="8">
        <v>8897.84</v>
      </c>
      <c r="AZ11" s="7">
        <v>-0.8303</v>
      </c>
      <c r="BA11" s="7">
        <v>-0.7692</v>
      </c>
      <c r="BB11" s="7">
        <v>0.2454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0.1793</v>
      </c>
      <c r="BJ11" s="4">
        <v>864</v>
      </c>
      <c r="BK11" s="8">
        <v>12792.57</v>
      </c>
      <c r="BL11" s="2" t="s">
        <v>106</v>
      </c>
      <c r="BM11" s="7">
        <v>0.0347</v>
      </c>
      <c r="BN11" s="7">
        <v>0.0394</v>
      </c>
      <c r="BO11" s="4">
        <v>30</v>
      </c>
      <c r="BP11" s="8">
        <v>504</v>
      </c>
      <c r="BQ11" s="4">
        <v>277</v>
      </c>
      <c r="BR11" s="8">
        <v>3778.28</v>
      </c>
      <c r="BS11" s="7">
        <v>-0.8917</v>
      </c>
      <c r="BT11" s="7">
        <v>-0.8666</v>
      </c>
      <c r="BU11" s="2" t="s">
        <v>107</v>
      </c>
      <c r="BV11" s="2" t="s">
        <v>108</v>
      </c>
      <c r="BW11" s="2" t="s">
        <v>109</v>
      </c>
      <c r="BX11" s="2" t="s">
        <v>139</v>
      </c>
      <c r="BY11" s="2" t="s">
        <v>111</v>
      </c>
    </row>
    <row r="12">
      <c r="A12" s="2" t="s">
        <v>140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113</v>
      </c>
      <c r="K12" s="2" t="s">
        <v>137</v>
      </c>
      <c r="L12" s="3">
        <v>17.1</v>
      </c>
      <c r="M12" s="3">
        <v>17.96</v>
      </c>
      <c r="N12" s="3">
        <v>44.99</v>
      </c>
      <c r="O12" s="2" t="s">
        <v>95</v>
      </c>
      <c r="P12" s="2" t="s">
        <v>123</v>
      </c>
      <c r="Q12" s="2" t="s">
        <v>97</v>
      </c>
      <c r="R12" s="2" t="s">
        <v>98</v>
      </c>
      <c r="S12" s="2" t="s">
        <v>138</v>
      </c>
      <c r="T12" s="2" t="s">
        <v>98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104</v>
      </c>
      <c r="Z12" s="4">
        <v>751</v>
      </c>
      <c r="AA12" s="4">
        <f>=ROUNDDOWN(16.3260869565217,0)</f>
      </c>
      <c r="AB12" s="5">
        <v>46</v>
      </c>
      <c r="AC12" s="2" t="s">
        <v>132</v>
      </c>
      <c r="AD12" s="4">
        <v>592</v>
      </c>
      <c r="AE12" s="4">
        <v>984</v>
      </c>
      <c r="AF12" s="6">
        <v>65</v>
      </c>
      <c r="AG12" s="6"/>
      <c r="AH12" s="7">
        <v>1</v>
      </c>
      <c r="AI12" s="4"/>
      <c r="AJ12" s="4">
        <f>=ROUNDDOWN({0},0)</f>
      </c>
      <c r="AK12" s="5">
        <v>0.4</v>
      </c>
      <c r="AL12" s="2" t="s">
        <v>98</v>
      </c>
      <c r="AM12" s="4"/>
      <c r="AN12" s="4"/>
      <c r="AO12" s="7">
        <v>1</v>
      </c>
      <c r="AP12" s="4">
        <v>8</v>
      </c>
      <c r="AQ12" s="8">
        <v>144</v>
      </c>
      <c r="AR12" s="4">
        <v>208</v>
      </c>
      <c r="AS12" s="8">
        <v>2993.12</v>
      </c>
      <c r="AT12" s="7">
        <v>-0.9615</v>
      </c>
      <c r="AU12" s="7">
        <v>-0.9519</v>
      </c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0.0701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298</v>
      </c>
      <c r="BK12" s="8">
        <v>4805.79</v>
      </c>
      <c r="BL12" s="2" t="s">
        <v>141</v>
      </c>
      <c r="BM12" s="7">
        <v>0.0268</v>
      </c>
      <c r="BN12" s="7">
        <v>0.03</v>
      </c>
      <c r="BO12" s="4">
        <v>8</v>
      </c>
      <c r="BP12" s="8">
        <v>144</v>
      </c>
      <c r="BQ12" s="4">
        <v>208</v>
      </c>
      <c r="BR12" s="8">
        <v>2993.12</v>
      </c>
      <c r="BS12" s="7">
        <v>-0.9615</v>
      </c>
      <c r="BT12" s="7">
        <v>-0.9519</v>
      </c>
      <c r="BU12" s="2" t="s">
        <v>107</v>
      </c>
      <c r="BV12" s="2" t="s">
        <v>108</v>
      </c>
      <c r="BW12" s="2" t="s">
        <v>109</v>
      </c>
      <c r="BX12" s="2" t="s">
        <v>142</v>
      </c>
      <c r="BY12" s="2" t="s">
        <v>111</v>
      </c>
    </row>
    <row r="13">
      <c r="A13" s="2" t="s">
        <v>143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118</v>
      </c>
      <c r="K13" s="2" t="s">
        <v>137</v>
      </c>
      <c r="L13" s="3">
        <v>21</v>
      </c>
      <c r="M13" s="3">
        <v>22.05</v>
      </c>
      <c r="N13" s="3">
        <v>49.99</v>
      </c>
      <c r="O13" s="2" t="s">
        <v>95</v>
      </c>
      <c r="P13" s="2" t="s">
        <v>123</v>
      </c>
      <c r="Q13" s="2" t="s">
        <v>97</v>
      </c>
      <c r="R13" s="2" t="s">
        <v>98</v>
      </c>
      <c r="S13" s="2" t="s">
        <v>138</v>
      </c>
      <c r="T13" s="2" t="s">
        <v>98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104</v>
      </c>
      <c r="Z13" s="4">
        <v>69</v>
      </c>
      <c r="AA13" s="4">
        <f>=ROUNDDOWN(5,0)</f>
      </c>
      <c r="AB13" s="5">
        <v>13.8</v>
      </c>
      <c r="AC13" s="2" t="s">
        <v>144</v>
      </c>
      <c r="AD13" s="4">
        <v>224</v>
      </c>
      <c r="AE13" s="4">
        <v>512</v>
      </c>
      <c r="AF13" s="6">
        <v>65</v>
      </c>
      <c r="AG13" s="6"/>
      <c r="AH13" s="7">
        <v>1</v>
      </c>
      <c r="AI13" s="4"/>
      <c r="AJ13" s="4">
        <f>=ROUNDDOWN({0},0)</f>
      </c>
      <c r="AK13" s="5">
        <v>0.3</v>
      </c>
      <c r="AL13" s="2" t="s">
        <v>98</v>
      </c>
      <c r="AM13" s="4"/>
      <c r="AN13" s="4"/>
      <c r="AO13" s="7">
        <v>1</v>
      </c>
      <c r="AP13" s="4">
        <v>20</v>
      </c>
      <c r="AQ13" s="8">
        <v>450</v>
      </c>
      <c r="AR13" s="4">
        <v>92</v>
      </c>
      <c r="AS13" s="8">
        <v>1644.04</v>
      </c>
      <c r="AT13" s="7">
        <v>-0.7826</v>
      </c>
      <c r="AU13" s="7">
        <v>-0.7263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0.2191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236</v>
      </c>
      <c r="BK13" s="8">
        <v>4686.79</v>
      </c>
      <c r="BL13" s="2" t="s">
        <v>145</v>
      </c>
      <c r="BM13" s="7">
        <v>0.0847</v>
      </c>
      <c r="BN13" s="7">
        <v>0.096</v>
      </c>
      <c r="BO13" s="4">
        <v>20</v>
      </c>
      <c r="BP13" s="8">
        <v>450</v>
      </c>
      <c r="BQ13" s="4">
        <v>92</v>
      </c>
      <c r="BR13" s="8">
        <v>1644.04</v>
      </c>
      <c r="BS13" s="7">
        <v>-0.7826</v>
      </c>
      <c r="BT13" s="7">
        <v>-0.7263</v>
      </c>
      <c r="BU13" s="2" t="s">
        <v>107</v>
      </c>
      <c r="BV13" s="2" t="s">
        <v>108</v>
      </c>
      <c r="BW13" s="2" t="s">
        <v>109</v>
      </c>
      <c r="BX13" s="2" t="s">
        <v>120</v>
      </c>
      <c r="BY13" s="2" t="s">
        <v>111</v>
      </c>
    </row>
    <row r="14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122</v>
      </c>
      <c r="K14" s="2" t="s">
        <v>137</v>
      </c>
      <c r="L14" s="3">
        <v>23.1</v>
      </c>
      <c r="M14" s="3">
        <v>24.26</v>
      </c>
      <c r="N14" s="3">
        <v>54.99</v>
      </c>
      <c r="O14" s="2" t="s">
        <v>95</v>
      </c>
      <c r="P14" s="2" t="s">
        <v>123</v>
      </c>
      <c r="Q14" s="2" t="s">
        <v>97</v>
      </c>
      <c r="R14" s="2" t="s">
        <v>98</v>
      </c>
      <c r="S14" s="2" t="s">
        <v>138</v>
      </c>
      <c r="T14" s="2" t="s">
        <v>98</v>
      </c>
      <c r="U14" s="2" t="s">
        <v>100</v>
      </c>
      <c r="V14" s="2" t="s">
        <v>101</v>
      </c>
      <c r="W14" s="2" t="s">
        <v>102</v>
      </c>
      <c r="X14" s="2" t="s">
        <v>103</v>
      </c>
      <c r="Y14" s="2" t="s">
        <v>104</v>
      </c>
      <c r="Z14" s="4">
        <v>63</v>
      </c>
      <c r="AA14" s="4">
        <f>=ROUNDDOWN(9,0)</f>
      </c>
      <c r="AB14" s="5">
        <v>7</v>
      </c>
      <c r="AC14" s="2" t="s">
        <v>132</v>
      </c>
      <c r="AD14" s="4">
        <v>88</v>
      </c>
      <c r="AE14" s="4">
        <v>172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10</v>
      </c>
      <c r="AQ14" s="8">
        <v>253</v>
      </c>
      <c r="AR14" s="4">
        <v>24</v>
      </c>
      <c r="AS14" s="8">
        <v>482.4</v>
      </c>
      <c r="AT14" s="7">
        <v>-0.5833</v>
      </c>
      <c r="AU14" s="7">
        <v>-0.4755</v>
      </c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0.1232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111</v>
      </c>
      <c r="BK14" s="8">
        <v>2501.23</v>
      </c>
      <c r="BL14" s="2" t="s">
        <v>147</v>
      </c>
      <c r="BM14" s="7">
        <v>0.0901</v>
      </c>
      <c r="BN14" s="7">
        <v>0.1012</v>
      </c>
      <c r="BO14" s="4">
        <v>10</v>
      </c>
      <c r="BP14" s="8">
        <v>253</v>
      </c>
      <c r="BQ14" s="4">
        <v>24</v>
      </c>
      <c r="BR14" s="8">
        <v>482.4</v>
      </c>
      <c r="BS14" s="7">
        <v>-0.5833</v>
      </c>
      <c r="BT14" s="7">
        <v>-0.4755</v>
      </c>
      <c r="BU14" s="2" t="s">
        <v>107</v>
      </c>
      <c r="BV14" s="2" t="s">
        <v>108</v>
      </c>
      <c r="BW14" s="2" t="s">
        <v>109</v>
      </c>
      <c r="BX14" s="2" t="s">
        <v>120</v>
      </c>
      <c r="BY14" s="2" t="s">
        <v>111</v>
      </c>
    </row>
    <row r="15">
      <c r="A15" s="2" t="s">
        <v>148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89</v>
      </c>
      <c r="G15" s="2" t="s">
        <v>90</v>
      </c>
      <c r="H15" s="2" t="s">
        <v>91</v>
      </c>
      <c r="I15" s="2" t="s">
        <v>127</v>
      </c>
      <c r="J15" s="2" t="s">
        <v>149</v>
      </c>
      <c r="K15" s="2" t="s">
        <v>137</v>
      </c>
      <c r="L15" s="3">
        <v>18.4</v>
      </c>
      <c r="M15" s="3">
        <v>19.32</v>
      </c>
      <c r="N15" s="3">
        <v>39.99</v>
      </c>
      <c r="O15" s="2" t="s">
        <v>95</v>
      </c>
      <c r="P15" s="2" t="s">
        <v>150</v>
      </c>
      <c r="Q15" s="2" t="s">
        <v>97</v>
      </c>
      <c r="R15" s="2" t="s">
        <v>98</v>
      </c>
      <c r="S15" s="2" t="s">
        <v>138</v>
      </c>
      <c r="T15" s="2" t="s">
        <v>98</v>
      </c>
      <c r="U15" s="2" t="s">
        <v>100</v>
      </c>
      <c r="V15" s="2" t="s">
        <v>101</v>
      </c>
      <c r="W15" s="2" t="s">
        <v>102</v>
      </c>
      <c r="X15" s="2" t="s">
        <v>130</v>
      </c>
      <c r="Y15" s="2" t="s">
        <v>131</v>
      </c>
      <c r="Z15" s="4">
        <v>136</v>
      </c>
      <c r="AA15" s="4">
        <f>=ROUNDDOWN(4.85714285714286,0)</f>
      </c>
      <c r="AB15" s="5">
        <v>28</v>
      </c>
      <c r="AC15" s="2" t="s">
        <v>105</v>
      </c>
      <c r="AD15" s="4">
        <v>176</v>
      </c>
      <c r="AE15" s="4">
        <v>676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0.8556</v>
      </c>
      <c r="AP15" s="4">
        <v>25</v>
      </c>
      <c r="AQ15" s="8">
        <v>500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0.2435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279</v>
      </c>
      <c r="BK15" s="8">
        <v>5487.61</v>
      </c>
      <c r="BL15" s="2" t="s">
        <v>151</v>
      </c>
      <c r="BM15" s="7">
        <v>0.0896</v>
      </c>
      <c r="BN15" s="7">
        <v>0.0911</v>
      </c>
      <c r="BO15" s="4">
        <v>25</v>
      </c>
      <c r="BP15" s="8">
        <v>500</v>
      </c>
      <c r="BQ15" s="4"/>
      <c r="BR15" s="8"/>
      <c r="BS15" s="7"/>
      <c r="BT15" s="7"/>
      <c r="BU15" s="2" t="s">
        <v>107</v>
      </c>
      <c r="BV15" s="2" t="s">
        <v>108</v>
      </c>
      <c r="BW15" s="2" t="s">
        <v>134</v>
      </c>
      <c r="BX15" s="2" t="s">
        <v>135</v>
      </c>
      <c r="BY15" s="2" t="s">
        <v>111</v>
      </c>
    </row>
    <row r="16">
      <c r="A16" s="2" t="s">
        <v>152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91</v>
      </c>
      <c r="I16" s="2" t="s">
        <v>127</v>
      </c>
      <c r="J16" s="2" t="s">
        <v>128</v>
      </c>
      <c r="K16" s="2" t="s">
        <v>137</v>
      </c>
      <c r="L16" s="3">
        <v>20.25</v>
      </c>
      <c r="M16" s="3">
        <v>21.26</v>
      </c>
      <c r="N16" s="3">
        <v>44.99</v>
      </c>
      <c r="O16" s="2" t="s">
        <v>95</v>
      </c>
      <c r="P16" s="2" t="s">
        <v>150</v>
      </c>
      <c r="Q16" s="2" t="s">
        <v>97</v>
      </c>
      <c r="R16" s="2" t="s">
        <v>98</v>
      </c>
      <c r="S16" s="2" t="s">
        <v>138</v>
      </c>
      <c r="T16" s="2" t="s">
        <v>98</v>
      </c>
      <c r="U16" s="2" t="s">
        <v>100</v>
      </c>
      <c r="V16" s="2" t="s">
        <v>101</v>
      </c>
      <c r="W16" s="2" t="s">
        <v>102</v>
      </c>
      <c r="X16" s="2" t="s">
        <v>130</v>
      </c>
      <c r="Y16" s="2" t="s">
        <v>131</v>
      </c>
      <c r="Z16" s="4">
        <v>27</v>
      </c>
      <c r="AA16" s="4">
        <f>=ROUNDDOWN(1.38461538461538,0)</f>
      </c>
      <c r="AB16" s="5">
        <v>19.5</v>
      </c>
      <c r="AC16" s="2" t="s">
        <v>144</v>
      </c>
      <c r="AD16" s="4">
        <v>104</v>
      </c>
      <c r="AE16" s="4">
        <v>352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9</v>
      </c>
      <c r="AQ16" s="8">
        <v>202.5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0.0986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253</v>
      </c>
      <c r="BK16" s="8">
        <v>5671.66</v>
      </c>
      <c r="BL16" s="2" t="s">
        <v>153</v>
      </c>
      <c r="BM16" s="7">
        <v>0.0356</v>
      </c>
      <c r="BN16" s="7">
        <v>0.0357</v>
      </c>
      <c r="BO16" s="4">
        <v>9</v>
      </c>
      <c r="BP16" s="8">
        <v>202.5</v>
      </c>
      <c r="BQ16" s="4"/>
      <c r="BR16" s="8"/>
      <c r="BS16" s="7"/>
      <c r="BT16" s="7"/>
      <c r="BU16" s="2" t="s">
        <v>107</v>
      </c>
      <c r="BV16" s="2" t="s">
        <v>108</v>
      </c>
      <c r="BW16" s="2" t="s">
        <v>134</v>
      </c>
      <c r="BX16" s="2" t="s">
        <v>154</v>
      </c>
      <c r="BY16" s="2" t="s">
        <v>111</v>
      </c>
    </row>
    <row r="17">
      <c r="A17" s="2" t="s">
        <v>155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156</v>
      </c>
      <c r="L17" s="3">
        <v>16</v>
      </c>
      <c r="M17" s="3">
        <v>16.8</v>
      </c>
      <c r="N17" s="3">
        <v>39.99</v>
      </c>
      <c r="O17" s="2" t="s">
        <v>95</v>
      </c>
      <c r="P17" s="2" t="s">
        <v>150</v>
      </c>
      <c r="Q17" s="2" t="s">
        <v>97</v>
      </c>
      <c r="R17" s="2" t="s">
        <v>98</v>
      </c>
      <c r="S17" s="2" t="s">
        <v>157</v>
      </c>
      <c r="T17" s="2" t="s">
        <v>98</v>
      </c>
      <c r="U17" s="2" t="s">
        <v>100</v>
      </c>
      <c r="V17" s="2" t="s">
        <v>101</v>
      </c>
      <c r="W17" s="2" t="s">
        <v>102</v>
      </c>
      <c r="X17" s="2" t="s">
        <v>103</v>
      </c>
      <c r="Y17" s="2" t="s">
        <v>104</v>
      </c>
      <c r="Z17" s="4">
        <v>273</v>
      </c>
      <c r="AA17" s="4">
        <f>=ROUNDDOWN(11.8695652173913,0)</f>
      </c>
      <c r="AB17" s="5">
        <v>23</v>
      </c>
      <c r="AC17" s="2" t="s">
        <v>158</v>
      </c>
      <c r="AD17" s="4">
        <v>156</v>
      </c>
      <c r="AE17" s="4">
        <v>612</v>
      </c>
      <c r="AF17" s="6">
        <v>65</v>
      </c>
      <c r="AG17" s="6"/>
      <c r="AH17" s="7">
        <v>1</v>
      </c>
      <c r="AI17" s="4">
        <v>1</v>
      </c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18</v>
      </c>
      <c r="AQ17" s="8">
        <v>302.4</v>
      </c>
      <c r="AR17" s="4">
        <v>248</v>
      </c>
      <c r="AS17" s="8">
        <v>3382.72</v>
      </c>
      <c r="AT17" s="7">
        <v>-0.9274</v>
      </c>
      <c r="AU17" s="7">
        <v>-0.9106</v>
      </c>
      <c r="AV17" s="4">
        <v>76</v>
      </c>
      <c r="AW17" s="8">
        <v>1636</v>
      </c>
      <c r="AX17" s="4">
        <v>521</v>
      </c>
      <c r="AY17" s="8">
        <v>7768.66</v>
      </c>
      <c r="AZ17" s="7">
        <v>-0.8541</v>
      </c>
      <c r="BA17" s="7">
        <v>-0.7894</v>
      </c>
      <c r="BB17" s="7">
        <v>0.1848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0.1428</v>
      </c>
      <c r="BJ17" s="4">
        <v>199</v>
      </c>
      <c r="BK17" s="8">
        <v>2998.03</v>
      </c>
      <c r="BL17" s="2" t="s">
        <v>159</v>
      </c>
      <c r="BM17" s="7">
        <v>0.0905</v>
      </c>
      <c r="BN17" s="7">
        <v>0.1009</v>
      </c>
      <c r="BO17" s="4">
        <v>18</v>
      </c>
      <c r="BP17" s="8">
        <v>302.4</v>
      </c>
      <c r="BQ17" s="4">
        <v>248</v>
      </c>
      <c r="BR17" s="8">
        <v>3382.72</v>
      </c>
      <c r="BS17" s="7">
        <v>-0.9274</v>
      </c>
      <c r="BT17" s="7">
        <v>-0.9106</v>
      </c>
      <c r="BU17" s="2" t="s">
        <v>107</v>
      </c>
      <c r="BV17" s="2" t="s">
        <v>108</v>
      </c>
      <c r="BW17" s="2" t="s">
        <v>109</v>
      </c>
      <c r="BX17" s="2" t="s">
        <v>110</v>
      </c>
      <c r="BY17" s="2" t="s">
        <v>111</v>
      </c>
    </row>
    <row r="18">
      <c r="A18" s="2" t="s">
        <v>160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113</v>
      </c>
      <c r="K18" s="2" t="s">
        <v>156</v>
      </c>
      <c r="L18" s="3">
        <v>17.1</v>
      </c>
      <c r="M18" s="3">
        <v>17.96</v>
      </c>
      <c r="N18" s="3">
        <v>44.99</v>
      </c>
      <c r="O18" s="2" t="s">
        <v>95</v>
      </c>
      <c r="P18" s="2" t="s">
        <v>150</v>
      </c>
      <c r="Q18" s="2" t="s">
        <v>97</v>
      </c>
      <c r="R18" s="2" t="s">
        <v>98</v>
      </c>
      <c r="S18" s="2" t="s">
        <v>157</v>
      </c>
      <c r="T18" s="2" t="s">
        <v>98</v>
      </c>
      <c r="U18" s="2" t="s">
        <v>100</v>
      </c>
      <c r="V18" s="2" t="s">
        <v>101</v>
      </c>
      <c r="W18" s="2" t="s">
        <v>102</v>
      </c>
      <c r="X18" s="2" t="s">
        <v>103</v>
      </c>
      <c r="Y18" s="2" t="s">
        <v>104</v>
      </c>
      <c r="Z18" s="4">
        <v>67</v>
      </c>
      <c r="AA18" s="4">
        <f>=ROUNDDOWN(2.68,0)</f>
      </c>
      <c r="AB18" s="5">
        <v>25</v>
      </c>
      <c r="AC18" s="2" t="s">
        <v>158</v>
      </c>
      <c r="AD18" s="4">
        <v>548</v>
      </c>
      <c r="AE18" s="4">
        <v>776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36</v>
      </c>
      <c r="AR18" s="4">
        <v>155</v>
      </c>
      <c r="AS18" s="8">
        <v>2230.45</v>
      </c>
      <c r="AT18" s="7">
        <v>-0.9871</v>
      </c>
      <c r="AU18" s="7">
        <v>-0.9839</v>
      </c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0.022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97</v>
      </c>
      <c r="BK18" s="8">
        <v>1612.07</v>
      </c>
      <c r="BL18" s="2" t="s">
        <v>161</v>
      </c>
      <c r="BM18" s="7">
        <v>0.0206</v>
      </c>
      <c r="BN18" s="7">
        <v>0.0223</v>
      </c>
      <c r="BO18" s="4">
        <v>2</v>
      </c>
      <c r="BP18" s="8">
        <v>36</v>
      </c>
      <c r="BQ18" s="4">
        <v>155</v>
      </c>
      <c r="BR18" s="8">
        <v>2230.45</v>
      </c>
      <c r="BS18" s="7">
        <v>-0.9871</v>
      </c>
      <c r="BT18" s="7">
        <v>-0.9839</v>
      </c>
      <c r="BU18" s="2" t="s">
        <v>107</v>
      </c>
      <c r="BV18" s="2" t="s">
        <v>108</v>
      </c>
      <c r="BW18" s="2" t="s">
        <v>109</v>
      </c>
      <c r="BX18" s="2" t="s">
        <v>110</v>
      </c>
      <c r="BY18" s="2" t="s">
        <v>111</v>
      </c>
    </row>
    <row r="19">
      <c r="A19" s="2" t="s">
        <v>162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118</v>
      </c>
      <c r="K19" s="2" t="s">
        <v>156</v>
      </c>
      <c r="L19" s="3">
        <v>21</v>
      </c>
      <c r="M19" s="3">
        <v>22.05</v>
      </c>
      <c r="N19" s="3">
        <v>49.99</v>
      </c>
      <c r="O19" s="2" t="s">
        <v>95</v>
      </c>
      <c r="P19" s="2" t="s">
        <v>150</v>
      </c>
      <c r="Q19" s="2" t="s">
        <v>97</v>
      </c>
      <c r="R19" s="2" t="s">
        <v>98</v>
      </c>
      <c r="S19" s="2" t="s">
        <v>157</v>
      </c>
      <c r="T19" s="2" t="s">
        <v>98</v>
      </c>
      <c r="U19" s="2" t="s">
        <v>100</v>
      </c>
      <c r="V19" s="2" t="s">
        <v>101</v>
      </c>
      <c r="W19" s="2" t="s">
        <v>102</v>
      </c>
      <c r="X19" s="2" t="s">
        <v>103</v>
      </c>
      <c r="Y19" s="2" t="s">
        <v>104</v>
      </c>
      <c r="Z19" s="4">
        <v>15</v>
      </c>
      <c r="AA19" s="4">
        <f>=ROUNDDOWN(1.07142857142857,0)</f>
      </c>
      <c r="AB19" s="5">
        <v>14</v>
      </c>
      <c r="AC19" s="2" t="s">
        <v>105</v>
      </c>
      <c r="AD19" s="4">
        <v>120</v>
      </c>
      <c r="AE19" s="4">
        <v>512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16</v>
      </c>
      <c r="AQ19" s="8">
        <v>360</v>
      </c>
      <c r="AR19" s="4">
        <v>97</v>
      </c>
      <c r="AS19" s="8">
        <v>1733.39</v>
      </c>
      <c r="AT19" s="7">
        <v>-0.8351</v>
      </c>
      <c r="AU19" s="7">
        <v>-0.7923</v>
      </c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0.22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93</v>
      </c>
      <c r="BK19" s="8">
        <v>2012.53</v>
      </c>
      <c r="BL19" s="2" t="s">
        <v>163</v>
      </c>
      <c r="BM19" s="7">
        <v>0.172</v>
      </c>
      <c r="BN19" s="7">
        <v>0.1789</v>
      </c>
      <c r="BO19" s="4">
        <v>16</v>
      </c>
      <c r="BP19" s="8">
        <v>360</v>
      </c>
      <c r="BQ19" s="4">
        <v>97</v>
      </c>
      <c r="BR19" s="8">
        <v>1733.39</v>
      </c>
      <c r="BS19" s="7">
        <v>-0.8351</v>
      </c>
      <c r="BT19" s="7">
        <v>-0.7923</v>
      </c>
      <c r="BU19" s="2" t="s">
        <v>107</v>
      </c>
      <c r="BV19" s="2" t="s">
        <v>108</v>
      </c>
      <c r="BW19" s="2" t="s">
        <v>109</v>
      </c>
      <c r="BX19" s="2" t="s">
        <v>164</v>
      </c>
      <c r="BY19" s="2" t="s">
        <v>111</v>
      </c>
    </row>
    <row r="20">
      <c r="A20" s="2" t="s">
        <v>165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122</v>
      </c>
      <c r="K20" s="2" t="s">
        <v>156</v>
      </c>
      <c r="L20" s="3">
        <v>23.1</v>
      </c>
      <c r="M20" s="3">
        <v>24.26</v>
      </c>
      <c r="N20" s="3">
        <v>54.99</v>
      </c>
      <c r="O20" s="2" t="s">
        <v>95</v>
      </c>
      <c r="P20" s="2" t="s">
        <v>150</v>
      </c>
      <c r="Q20" s="2" t="s">
        <v>97</v>
      </c>
      <c r="R20" s="2" t="s">
        <v>98</v>
      </c>
      <c r="S20" s="2" t="s">
        <v>157</v>
      </c>
      <c r="T20" s="2" t="s">
        <v>98</v>
      </c>
      <c r="U20" s="2" t="s">
        <v>100</v>
      </c>
      <c r="V20" s="2" t="s">
        <v>101</v>
      </c>
      <c r="W20" s="2" t="s">
        <v>102</v>
      </c>
      <c r="X20" s="2" t="s">
        <v>103</v>
      </c>
      <c r="Y20" s="2" t="s">
        <v>104</v>
      </c>
      <c r="Z20" s="4">
        <v>41</v>
      </c>
      <c r="AA20" s="4">
        <f>=ROUNDDOWN(8.2,0)</f>
      </c>
      <c r="AB20" s="5">
        <v>5</v>
      </c>
      <c r="AC20" s="2" t="s">
        <v>158</v>
      </c>
      <c r="AD20" s="4">
        <v>72</v>
      </c>
      <c r="AE20" s="4">
        <v>140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17</v>
      </c>
      <c r="AQ20" s="8">
        <v>430.1</v>
      </c>
      <c r="AR20" s="4">
        <v>21</v>
      </c>
      <c r="AS20" s="8">
        <v>422.1</v>
      </c>
      <c r="AT20" s="7">
        <v>-0.1905</v>
      </c>
      <c r="AU20" s="7">
        <v>0.019</v>
      </c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0.2629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76</v>
      </c>
      <c r="BK20" s="8">
        <v>1773.3</v>
      </c>
      <c r="BL20" s="2" t="s">
        <v>166</v>
      </c>
      <c r="BM20" s="7">
        <v>0.2237</v>
      </c>
      <c r="BN20" s="7">
        <v>0.2425</v>
      </c>
      <c r="BO20" s="4">
        <v>17</v>
      </c>
      <c r="BP20" s="8">
        <v>430.1</v>
      </c>
      <c r="BQ20" s="4">
        <v>21</v>
      </c>
      <c r="BR20" s="8">
        <v>422.1</v>
      </c>
      <c r="BS20" s="7">
        <v>-0.1905</v>
      </c>
      <c r="BT20" s="7">
        <v>0.019</v>
      </c>
      <c r="BU20" s="2" t="s">
        <v>107</v>
      </c>
      <c r="BV20" s="2" t="s">
        <v>108</v>
      </c>
      <c r="BW20" s="2" t="s">
        <v>109</v>
      </c>
      <c r="BX20" s="2" t="s">
        <v>120</v>
      </c>
      <c r="BY20" s="2" t="s">
        <v>111</v>
      </c>
    </row>
    <row r="21">
      <c r="A21" s="2" t="s">
        <v>167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89</v>
      </c>
      <c r="G21" s="2" t="s">
        <v>90</v>
      </c>
      <c r="H21" s="2" t="s">
        <v>91</v>
      </c>
      <c r="I21" s="2" t="s">
        <v>127</v>
      </c>
      <c r="J21" s="2" t="s">
        <v>149</v>
      </c>
      <c r="K21" s="2" t="s">
        <v>156</v>
      </c>
      <c r="L21" s="3">
        <v>18.4</v>
      </c>
      <c r="M21" s="3">
        <v>19.32</v>
      </c>
      <c r="N21" s="3">
        <v>39.99</v>
      </c>
      <c r="O21" s="2" t="s">
        <v>95</v>
      </c>
      <c r="P21" s="2" t="s">
        <v>150</v>
      </c>
      <c r="Q21" s="2" t="s">
        <v>97</v>
      </c>
      <c r="R21" s="2" t="s">
        <v>98</v>
      </c>
      <c r="S21" s="2" t="s">
        <v>168</v>
      </c>
      <c r="T21" s="2" t="s">
        <v>98</v>
      </c>
      <c r="U21" s="2" t="s">
        <v>100</v>
      </c>
      <c r="V21" s="2" t="s">
        <v>101</v>
      </c>
      <c r="W21" s="2" t="s">
        <v>102</v>
      </c>
      <c r="X21" s="2" t="s">
        <v>130</v>
      </c>
      <c r="Y21" s="2" t="s">
        <v>169</v>
      </c>
      <c r="Z21" s="4">
        <v>130</v>
      </c>
      <c r="AA21" s="4">
        <f>=ROUNDDOWN(18.5714285714286,0)</f>
      </c>
      <c r="AB21" s="5">
        <v>7</v>
      </c>
      <c r="AC21" s="2" t="s">
        <v>158</v>
      </c>
      <c r="AD21" s="4">
        <v>32</v>
      </c>
      <c r="AE21" s="4">
        <v>144</v>
      </c>
      <c r="AF21" s="6">
        <v>65</v>
      </c>
      <c r="AG21" s="6"/>
      <c r="AH21" s="7">
        <v>1</v>
      </c>
      <c r="AI21" s="4">
        <v>5</v>
      </c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4</v>
      </c>
      <c r="AQ21" s="8">
        <v>80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0.0489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125</v>
      </c>
      <c r="BK21" s="8">
        <v>2537.39</v>
      </c>
      <c r="BL21" s="2" t="s">
        <v>170</v>
      </c>
      <c r="BM21" s="7">
        <v>0.032</v>
      </c>
      <c r="BN21" s="7">
        <v>0.0315</v>
      </c>
      <c r="BO21" s="4">
        <v>4</v>
      </c>
      <c r="BP21" s="8">
        <v>80</v>
      </c>
      <c r="BQ21" s="4"/>
      <c r="BR21" s="8"/>
      <c r="BS21" s="7"/>
      <c r="BT21" s="7"/>
      <c r="BU21" s="2" t="s">
        <v>107</v>
      </c>
      <c r="BV21" s="2" t="s">
        <v>108</v>
      </c>
      <c r="BW21" s="2" t="s">
        <v>171</v>
      </c>
      <c r="BX21" s="2" t="s">
        <v>172</v>
      </c>
      <c r="BY21" s="2" t="s">
        <v>111</v>
      </c>
    </row>
    <row r="22">
      <c r="A22" s="2" t="s">
        <v>173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127</v>
      </c>
      <c r="J22" s="2" t="s">
        <v>128</v>
      </c>
      <c r="K22" s="2" t="s">
        <v>156</v>
      </c>
      <c r="L22" s="3">
        <v>20.25</v>
      </c>
      <c r="M22" s="3">
        <v>21.26</v>
      </c>
      <c r="N22" s="3">
        <v>44.99</v>
      </c>
      <c r="O22" s="2" t="s">
        <v>95</v>
      </c>
      <c r="P22" s="2" t="s">
        <v>150</v>
      </c>
      <c r="Q22" s="2" t="s">
        <v>97</v>
      </c>
      <c r="R22" s="2" t="s">
        <v>98</v>
      </c>
      <c r="S22" s="2" t="s">
        <v>168</v>
      </c>
      <c r="T22" s="2" t="s">
        <v>98</v>
      </c>
      <c r="U22" s="2" t="s">
        <v>100</v>
      </c>
      <c r="V22" s="2" t="s">
        <v>101</v>
      </c>
      <c r="W22" s="2" t="s">
        <v>102</v>
      </c>
      <c r="X22" s="2" t="s">
        <v>130</v>
      </c>
      <c r="Y22" s="2" t="s">
        <v>169</v>
      </c>
      <c r="Z22" s="4">
        <v>144</v>
      </c>
      <c r="AA22" s="4">
        <f>=ROUNDDOWN(18,0)</f>
      </c>
      <c r="AB22" s="5">
        <v>8</v>
      </c>
      <c r="AC22" s="2" t="s">
        <v>158</v>
      </c>
      <c r="AD22" s="4">
        <v>72</v>
      </c>
      <c r="AE22" s="4">
        <v>172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19</v>
      </c>
      <c r="AQ22" s="8">
        <v>427.5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0.2613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50</v>
      </c>
      <c r="BK22" s="8">
        <v>1124.42</v>
      </c>
      <c r="BL22" s="2" t="s">
        <v>174</v>
      </c>
      <c r="BM22" s="7">
        <v>0.38</v>
      </c>
      <c r="BN22" s="7">
        <v>0.3802</v>
      </c>
      <c r="BO22" s="4">
        <v>19</v>
      </c>
      <c r="BP22" s="8">
        <v>427.5</v>
      </c>
      <c r="BQ22" s="4"/>
      <c r="BR22" s="8"/>
      <c r="BS22" s="7"/>
      <c r="BT22" s="7"/>
      <c r="BU22" s="2" t="s">
        <v>107</v>
      </c>
      <c r="BV22" s="2" t="s">
        <v>108</v>
      </c>
      <c r="BW22" s="2" t="s">
        <v>171</v>
      </c>
      <c r="BX22" s="2" t="s">
        <v>175</v>
      </c>
      <c r="BY22" s="2" t="s">
        <v>111</v>
      </c>
    </row>
    <row r="23">
      <c r="A23" s="2" t="s">
        <v>176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93</v>
      </c>
      <c r="K23" s="2" t="s">
        <v>177</v>
      </c>
      <c r="L23" s="3">
        <v>16</v>
      </c>
      <c r="M23" s="3">
        <v>16.8</v>
      </c>
      <c r="N23" s="3">
        <v>39.99</v>
      </c>
      <c r="O23" s="2" t="s">
        <v>95</v>
      </c>
      <c r="P23" s="2" t="s">
        <v>150</v>
      </c>
      <c r="Q23" s="2" t="s">
        <v>97</v>
      </c>
      <c r="R23" s="2" t="s">
        <v>98</v>
      </c>
      <c r="S23" s="2" t="s">
        <v>178</v>
      </c>
      <c r="T23" s="2" t="s">
        <v>98</v>
      </c>
      <c r="U23" s="2" t="s">
        <v>100</v>
      </c>
      <c r="V23" s="2" t="s">
        <v>101</v>
      </c>
      <c r="W23" s="2" t="s">
        <v>102</v>
      </c>
      <c r="X23" s="2" t="s">
        <v>103</v>
      </c>
      <c r="Y23" s="2" t="s">
        <v>104</v>
      </c>
      <c r="Z23" s="4">
        <v>1</v>
      </c>
      <c r="AA23" s="4">
        <f>=ROUNDDOWN(0.0344827586206897,0)</f>
      </c>
      <c r="AB23" s="5">
        <v>29</v>
      </c>
      <c r="AC23" s="2" t="s">
        <v>179</v>
      </c>
      <c r="AD23" s="4">
        <v>468</v>
      </c>
      <c r="AE23" s="4">
        <v>836</v>
      </c>
      <c r="AF23" s="6">
        <v>65</v>
      </c>
      <c r="AG23" s="6"/>
      <c r="AH23" s="7">
        <v>1</v>
      </c>
      <c r="AI23" s="4">
        <v>1</v>
      </c>
      <c r="AJ23" s="4">
        <f>=ROUNDDOWN({0},0)</f>
      </c>
      <c r="AK23" s="5"/>
      <c r="AL23" s="2" t="s">
        <v>98</v>
      </c>
      <c r="AM23" s="4"/>
      <c r="AN23" s="4"/>
      <c r="AO23" s="7">
        <v>1</v>
      </c>
      <c r="AP23" s="4">
        <v>24</v>
      </c>
      <c r="AQ23" s="8">
        <v>403.2</v>
      </c>
      <c r="AR23" s="4">
        <v>201</v>
      </c>
      <c r="AS23" s="8">
        <v>2741.64</v>
      </c>
      <c r="AT23" s="7">
        <v>-0.8806</v>
      </c>
      <c r="AU23" s="7">
        <v>-0.8529</v>
      </c>
      <c r="AV23" s="4">
        <v>68</v>
      </c>
      <c r="AW23" s="8">
        <v>1396.3</v>
      </c>
      <c r="AX23" s="4">
        <v>575</v>
      </c>
      <c r="AY23" s="8">
        <v>8672.6</v>
      </c>
      <c r="AZ23" s="7">
        <v>-0.8817</v>
      </c>
      <c r="BA23" s="7">
        <v>-0.839</v>
      </c>
      <c r="BB23" s="7">
        <v>0.2888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>
        <v>0.1219</v>
      </c>
      <c r="BJ23" s="4">
        <v>288</v>
      </c>
      <c r="BK23" s="8">
        <v>4355.59</v>
      </c>
      <c r="BL23" s="2" t="s">
        <v>180</v>
      </c>
      <c r="BM23" s="7">
        <v>0.0833</v>
      </c>
      <c r="BN23" s="7">
        <v>0.0926</v>
      </c>
      <c r="BO23" s="4">
        <v>24</v>
      </c>
      <c r="BP23" s="8">
        <v>403.2</v>
      </c>
      <c r="BQ23" s="4">
        <v>201</v>
      </c>
      <c r="BR23" s="8">
        <v>2741.64</v>
      </c>
      <c r="BS23" s="7">
        <v>-0.8806</v>
      </c>
      <c r="BT23" s="7">
        <v>-0.8529</v>
      </c>
      <c r="BU23" s="2" t="s">
        <v>107</v>
      </c>
      <c r="BV23" s="2" t="s">
        <v>108</v>
      </c>
      <c r="BW23" s="2" t="s">
        <v>109</v>
      </c>
      <c r="BX23" s="2" t="s">
        <v>181</v>
      </c>
      <c r="BY23" s="2" t="s">
        <v>111</v>
      </c>
    </row>
    <row r="24">
      <c r="A24" s="2" t="s">
        <v>182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113</v>
      </c>
      <c r="K24" s="2" t="s">
        <v>177</v>
      </c>
      <c r="L24" s="3">
        <v>17.1</v>
      </c>
      <c r="M24" s="3">
        <v>17.96</v>
      </c>
      <c r="N24" s="3">
        <v>44.99</v>
      </c>
      <c r="O24" s="2" t="s">
        <v>95</v>
      </c>
      <c r="P24" s="2" t="s">
        <v>150</v>
      </c>
      <c r="Q24" s="2" t="s">
        <v>97</v>
      </c>
      <c r="R24" s="2" t="s">
        <v>98</v>
      </c>
      <c r="S24" s="2" t="s">
        <v>178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103</v>
      </c>
      <c r="Y24" s="2" t="s">
        <v>104</v>
      </c>
      <c r="Z24" s="4">
        <v>211</v>
      </c>
      <c r="AA24" s="4">
        <f>=ROUNDDOWN(14.0666666666667,0)</f>
      </c>
      <c r="AB24" s="5">
        <v>15</v>
      </c>
      <c r="AC24" s="2" t="s">
        <v>179</v>
      </c>
      <c r="AD24" s="4">
        <v>80</v>
      </c>
      <c r="AE24" s="4">
        <v>328</v>
      </c>
      <c r="AF24" s="6">
        <v>65</v>
      </c>
      <c r="AG24" s="6"/>
      <c r="AH24" s="7">
        <v>1</v>
      </c>
      <c r="AI24" s="4">
        <v>1</v>
      </c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238</v>
      </c>
      <c r="AS24" s="8">
        <v>3424.82</v>
      </c>
      <c r="AT24" s="7">
        <v>-1</v>
      </c>
      <c r="AU24" s="7">
        <v>-1</v>
      </c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172</v>
      </c>
      <c r="BK24" s="8">
        <v>2784.31</v>
      </c>
      <c r="BL24" s="2" t="s">
        <v>183</v>
      </c>
      <c r="BM24" s="7"/>
      <c r="BN24" s="7"/>
      <c r="BO24" s="4"/>
      <c r="BP24" s="8"/>
      <c r="BQ24" s="4">
        <v>238</v>
      </c>
      <c r="BR24" s="8">
        <v>3424.82</v>
      </c>
      <c r="BS24" s="7">
        <v>-1</v>
      </c>
      <c r="BT24" s="7">
        <v>-1</v>
      </c>
      <c r="BU24" s="2" t="s">
        <v>107</v>
      </c>
      <c r="BV24" s="2" t="s">
        <v>108</v>
      </c>
      <c r="BW24" s="2" t="s">
        <v>109</v>
      </c>
      <c r="BX24" s="2" t="s">
        <v>184</v>
      </c>
      <c r="BY24" s="2" t="s">
        <v>111</v>
      </c>
    </row>
    <row r="25">
      <c r="A25" s="2" t="s">
        <v>185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118</v>
      </c>
      <c r="K25" s="2" t="s">
        <v>177</v>
      </c>
      <c r="L25" s="3">
        <v>21</v>
      </c>
      <c r="M25" s="3">
        <v>22.05</v>
      </c>
      <c r="N25" s="3">
        <v>49.99</v>
      </c>
      <c r="O25" s="2" t="s">
        <v>95</v>
      </c>
      <c r="P25" s="2" t="s">
        <v>150</v>
      </c>
      <c r="Q25" s="2" t="s">
        <v>97</v>
      </c>
      <c r="R25" s="2" t="s">
        <v>98</v>
      </c>
      <c r="S25" s="2" t="s">
        <v>178</v>
      </c>
      <c r="T25" s="2" t="s">
        <v>98</v>
      </c>
      <c r="U25" s="2" t="s">
        <v>100</v>
      </c>
      <c r="V25" s="2" t="s">
        <v>101</v>
      </c>
      <c r="W25" s="2" t="s">
        <v>102</v>
      </c>
      <c r="X25" s="2" t="s">
        <v>103</v>
      </c>
      <c r="Y25" s="2" t="s">
        <v>104</v>
      </c>
      <c r="Z25" s="4">
        <v>100</v>
      </c>
      <c r="AA25" s="4">
        <f>=ROUNDDOWN(10,0)</f>
      </c>
      <c r="AB25" s="5">
        <v>10</v>
      </c>
      <c r="AC25" s="2" t="s">
        <v>179</v>
      </c>
      <c r="AD25" s="4">
        <v>60</v>
      </c>
      <c r="AE25" s="4">
        <v>216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26</v>
      </c>
      <c r="AQ25" s="8">
        <v>585</v>
      </c>
      <c r="AR25" s="4">
        <v>102</v>
      </c>
      <c r="AS25" s="8">
        <v>1822.74</v>
      </c>
      <c r="AT25" s="7">
        <v>-0.7451</v>
      </c>
      <c r="AU25" s="7">
        <v>-0.6791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0.419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98</v>
      </c>
      <c r="BK25" s="8">
        <v>2042.79</v>
      </c>
      <c r="BL25" s="2" t="s">
        <v>186</v>
      </c>
      <c r="BM25" s="7">
        <v>0.2653</v>
      </c>
      <c r="BN25" s="7">
        <v>0.2864</v>
      </c>
      <c r="BO25" s="4">
        <v>26</v>
      </c>
      <c r="BP25" s="8">
        <v>585</v>
      </c>
      <c r="BQ25" s="4">
        <v>102</v>
      </c>
      <c r="BR25" s="8">
        <v>1822.74</v>
      </c>
      <c r="BS25" s="7">
        <v>-0.7451</v>
      </c>
      <c r="BT25" s="7">
        <v>-0.6791</v>
      </c>
      <c r="BU25" s="2" t="s">
        <v>107</v>
      </c>
      <c r="BV25" s="2" t="s">
        <v>108</v>
      </c>
      <c r="BW25" s="2" t="s">
        <v>109</v>
      </c>
      <c r="BX25" s="2" t="s">
        <v>187</v>
      </c>
      <c r="BY25" s="2" t="s">
        <v>111</v>
      </c>
    </row>
    <row r="26">
      <c r="A26" s="2" t="s">
        <v>188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89</v>
      </c>
      <c r="G26" s="2" t="s">
        <v>90</v>
      </c>
      <c r="H26" s="2" t="s">
        <v>91</v>
      </c>
      <c r="I26" s="2" t="s">
        <v>92</v>
      </c>
      <c r="J26" s="2" t="s">
        <v>122</v>
      </c>
      <c r="K26" s="2" t="s">
        <v>177</v>
      </c>
      <c r="L26" s="3">
        <v>23.1</v>
      </c>
      <c r="M26" s="3">
        <v>24.26</v>
      </c>
      <c r="N26" s="3">
        <v>54.99</v>
      </c>
      <c r="O26" s="2" t="s">
        <v>95</v>
      </c>
      <c r="P26" s="2" t="s">
        <v>150</v>
      </c>
      <c r="Q26" s="2" t="s">
        <v>97</v>
      </c>
      <c r="R26" s="2" t="s">
        <v>98</v>
      </c>
      <c r="S26" s="2" t="s">
        <v>178</v>
      </c>
      <c r="T26" s="2" t="s">
        <v>98</v>
      </c>
      <c r="U26" s="2" t="s">
        <v>100</v>
      </c>
      <c r="V26" s="2" t="s">
        <v>101</v>
      </c>
      <c r="W26" s="2" t="s">
        <v>102</v>
      </c>
      <c r="X26" s="2" t="s">
        <v>103</v>
      </c>
      <c r="Y26" s="2" t="s">
        <v>104</v>
      </c>
      <c r="Z26" s="4">
        <v>2</v>
      </c>
      <c r="AA26" s="4">
        <f>=ROUNDDOWN(0.4,0)</f>
      </c>
      <c r="AB26" s="5">
        <v>5</v>
      </c>
      <c r="AC26" s="2" t="s">
        <v>179</v>
      </c>
      <c r="AD26" s="4">
        <v>64</v>
      </c>
      <c r="AE26" s="4">
        <v>136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2</v>
      </c>
      <c r="AQ26" s="8">
        <v>50.6</v>
      </c>
      <c r="AR26" s="4">
        <v>34</v>
      </c>
      <c r="AS26" s="8">
        <v>683.4</v>
      </c>
      <c r="AT26" s="7">
        <v>-0.9412</v>
      </c>
      <c r="AU26" s="7">
        <v>-0.926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0.0362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46</v>
      </c>
      <c r="BK26" s="8">
        <v>1018.14</v>
      </c>
      <c r="BL26" s="2" t="s">
        <v>189</v>
      </c>
      <c r="BM26" s="7">
        <v>0.0435</v>
      </c>
      <c r="BN26" s="7">
        <v>0.0497</v>
      </c>
      <c r="BO26" s="4">
        <v>2</v>
      </c>
      <c r="BP26" s="8">
        <v>50.6</v>
      </c>
      <c r="BQ26" s="4">
        <v>34</v>
      </c>
      <c r="BR26" s="8">
        <v>683.4</v>
      </c>
      <c r="BS26" s="7">
        <v>-0.9412</v>
      </c>
      <c r="BT26" s="7">
        <v>-0.926</v>
      </c>
      <c r="BU26" s="2" t="s">
        <v>107</v>
      </c>
      <c r="BV26" s="2" t="s">
        <v>108</v>
      </c>
      <c r="BW26" s="2" t="s">
        <v>109</v>
      </c>
      <c r="BX26" s="2" t="s">
        <v>190</v>
      </c>
      <c r="BY26" s="2" t="s">
        <v>111</v>
      </c>
    </row>
    <row r="27">
      <c r="A27" s="2" t="s">
        <v>191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89</v>
      </c>
      <c r="G27" s="2" t="s">
        <v>90</v>
      </c>
      <c r="H27" s="2" t="s">
        <v>91</v>
      </c>
      <c r="I27" s="2" t="s">
        <v>127</v>
      </c>
      <c r="J27" s="2" t="s">
        <v>149</v>
      </c>
      <c r="K27" s="2" t="s">
        <v>177</v>
      </c>
      <c r="L27" s="3">
        <v>18.4</v>
      </c>
      <c r="M27" s="3">
        <v>19.32</v>
      </c>
      <c r="N27" s="3">
        <v>39.99</v>
      </c>
      <c r="O27" s="2" t="s">
        <v>95</v>
      </c>
      <c r="P27" s="2" t="s">
        <v>150</v>
      </c>
      <c r="Q27" s="2" t="s">
        <v>97</v>
      </c>
      <c r="R27" s="2" t="s">
        <v>98</v>
      </c>
      <c r="S27" s="2" t="s">
        <v>192</v>
      </c>
      <c r="T27" s="2" t="s">
        <v>98</v>
      </c>
      <c r="U27" s="2" t="s">
        <v>100</v>
      </c>
      <c r="V27" s="2" t="s">
        <v>101</v>
      </c>
      <c r="W27" s="2" t="s">
        <v>102</v>
      </c>
      <c r="X27" s="2" t="s">
        <v>130</v>
      </c>
      <c r="Y27" s="2" t="s">
        <v>169</v>
      </c>
      <c r="Z27" s="4">
        <v>90</v>
      </c>
      <c r="AA27" s="4">
        <f>=ROUNDDOWN(11.25,0)</f>
      </c>
      <c r="AB27" s="5">
        <v>8</v>
      </c>
      <c r="AC27" s="2" t="s">
        <v>179</v>
      </c>
      <c r="AD27" s="4">
        <v>52</v>
      </c>
      <c r="AE27" s="4">
        <v>172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20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0.0143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115</v>
      </c>
      <c r="BK27" s="8">
        <v>2247.48</v>
      </c>
      <c r="BL27" s="2" t="s">
        <v>193</v>
      </c>
      <c r="BM27" s="7">
        <v>0.0087</v>
      </c>
      <c r="BN27" s="7">
        <v>0.0089</v>
      </c>
      <c r="BO27" s="4">
        <v>1</v>
      </c>
      <c r="BP27" s="8">
        <v>20</v>
      </c>
      <c r="BQ27" s="4"/>
      <c r="BR27" s="8"/>
      <c r="BS27" s="7"/>
      <c r="BT27" s="7"/>
      <c r="BU27" s="2" t="s">
        <v>107</v>
      </c>
      <c r="BV27" s="2" t="s">
        <v>108</v>
      </c>
      <c r="BW27" s="2" t="s">
        <v>171</v>
      </c>
      <c r="BX27" s="2" t="s">
        <v>194</v>
      </c>
      <c r="BY27" s="2" t="s">
        <v>111</v>
      </c>
    </row>
    <row r="28">
      <c r="A28" s="2" t="s">
        <v>195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89</v>
      </c>
      <c r="G28" s="2" t="s">
        <v>90</v>
      </c>
      <c r="H28" s="2" t="s">
        <v>91</v>
      </c>
      <c r="I28" s="2" t="s">
        <v>127</v>
      </c>
      <c r="J28" s="2" t="s">
        <v>128</v>
      </c>
      <c r="K28" s="2" t="s">
        <v>177</v>
      </c>
      <c r="L28" s="3">
        <v>20.25</v>
      </c>
      <c r="M28" s="3">
        <v>21.26</v>
      </c>
      <c r="N28" s="3">
        <v>44.99</v>
      </c>
      <c r="O28" s="2" t="s">
        <v>95</v>
      </c>
      <c r="P28" s="2" t="s">
        <v>150</v>
      </c>
      <c r="Q28" s="2" t="s">
        <v>97</v>
      </c>
      <c r="R28" s="2" t="s">
        <v>98</v>
      </c>
      <c r="S28" s="2" t="s">
        <v>192</v>
      </c>
      <c r="T28" s="2" t="s">
        <v>98</v>
      </c>
      <c r="U28" s="2" t="s">
        <v>100</v>
      </c>
      <c r="V28" s="2" t="s">
        <v>101</v>
      </c>
      <c r="W28" s="2" t="s">
        <v>102</v>
      </c>
      <c r="X28" s="2" t="s">
        <v>130</v>
      </c>
      <c r="Y28" s="2" t="s">
        <v>169</v>
      </c>
      <c r="Z28" s="4">
        <v>19</v>
      </c>
      <c r="AA28" s="4">
        <f>=ROUNDDOWN(2.375,0)</f>
      </c>
      <c r="AB28" s="5">
        <v>8</v>
      </c>
      <c r="AC28" s="2" t="s">
        <v>179</v>
      </c>
      <c r="AD28" s="4">
        <v>164</v>
      </c>
      <c r="AE28" s="4">
        <v>248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15</v>
      </c>
      <c r="AQ28" s="8">
        <v>337.5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0.2417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85</v>
      </c>
      <c r="BK28" s="8">
        <v>1883.39</v>
      </c>
      <c r="BL28" s="2" t="s">
        <v>196</v>
      </c>
      <c r="BM28" s="7">
        <v>0.1765</v>
      </c>
      <c r="BN28" s="7">
        <v>0.1792</v>
      </c>
      <c r="BO28" s="4">
        <v>15</v>
      </c>
      <c r="BP28" s="8">
        <v>337.5</v>
      </c>
      <c r="BQ28" s="4"/>
      <c r="BR28" s="8"/>
      <c r="BS28" s="7"/>
      <c r="BT28" s="7"/>
      <c r="BU28" s="2" t="s">
        <v>107</v>
      </c>
      <c r="BV28" s="2" t="s">
        <v>108</v>
      </c>
      <c r="BW28" s="2" t="s">
        <v>171</v>
      </c>
      <c r="BX28" s="2" t="s">
        <v>197</v>
      </c>
      <c r="BY28" s="2" t="s">
        <v>111</v>
      </c>
    </row>
    <row r="29">
      <c r="A29" s="2" t="s">
        <v>198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89</v>
      </c>
      <c r="G29" s="2" t="s">
        <v>90</v>
      </c>
      <c r="H29" s="2" t="s">
        <v>91</v>
      </c>
      <c r="I29" s="2" t="s">
        <v>92</v>
      </c>
      <c r="J29" s="2" t="s">
        <v>93</v>
      </c>
      <c r="K29" s="2" t="s">
        <v>199</v>
      </c>
      <c r="L29" s="3">
        <v>16</v>
      </c>
      <c r="M29" s="3">
        <v>16.8</v>
      </c>
      <c r="N29" s="3">
        <v>39.99</v>
      </c>
      <c r="O29" s="2" t="s">
        <v>95</v>
      </c>
      <c r="P29" s="2" t="s">
        <v>150</v>
      </c>
      <c r="Q29" s="2" t="s">
        <v>97</v>
      </c>
      <c r="R29" s="2" t="s">
        <v>98</v>
      </c>
      <c r="S29" s="2" t="s">
        <v>200</v>
      </c>
      <c r="T29" s="2" t="s">
        <v>98</v>
      </c>
      <c r="U29" s="2" t="s">
        <v>100</v>
      </c>
      <c r="V29" s="2" t="s">
        <v>101</v>
      </c>
      <c r="W29" s="2" t="s">
        <v>102</v>
      </c>
      <c r="X29" s="2" t="s">
        <v>103</v>
      </c>
      <c r="Y29" s="2" t="s">
        <v>201</v>
      </c>
      <c r="Z29" s="4">
        <v>279</v>
      </c>
      <c r="AA29" s="4">
        <f>=ROUNDDOWN(9.3,0)</f>
      </c>
      <c r="AB29" s="5">
        <v>30</v>
      </c>
      <c r="AC29" s="2" t="s">
        <v>202</v>
      </c>
      <c r="AD29" s="4">
        <v>260</v>
      </c>
      <c r="AE29" s="4">
        <v>960</v>
      </c>
      <c r="AF29" s="6">
        <v>65</v>
      </c>
      <c r="AG29" s="6"/>
      <c r="AH29" s="7">
        <v>1</v>
      </c>
      <c r="AI29" s="4"/>
      <c r="AJ29" s="4">
        <f>=ROUNDDOWN({0},0)</f>
      </c>
      <c r="AK29" s="5">
        <v>0.8</v>
      </c>
      <c r="AL29" s="2" t="s">
        <v>98</v>
      </c>
      <c r="AM29" s="4"/>
      <c r="AN29" s="4"/>
      <c r="AO29" s="7">
        <v>0.2778</v>
      </c>
      <c r="AP29" s="4">
        <v>15</v>
      </c>
      <c r="AQ29" s="8">
        <v>252</v>
      </c>
      <c r="AR29" s="4"/>
      <c r="AS29" s="8"/>
      <c r="AT29" s="7"/>
      <c r="AU29" s="7"/>
      <c r="AV29" s="4">
        <v>48</v>
      </c>
      <c r="AW29" s="8">
        <v>922.5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0.2732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0.0805</v>
      </c>
      <c r="BJ29" s="4">
        <v>312</v>
      </c>
      <c r="BK29" s="8">
        <v>4845.08</v>
      </c>
      <c r="BL29" s="2" t="s">
        <v>203</v>
      </c>
      <c r="BM29" s="7">
        <v>0.0481</v>
      </c>
      <c r="BN29" s="7">
        <v>0.052</v>
      </c>
      <c r="BO29" s="4">
        <v>15</v>
      </c>
      <c r="BP29" s="8">
        <v>252</v>
      </c>
      <c r="BQ29" s="4"/>
      <c r="BR29" s="8"/>
      <c r="BS29" s="7"/>
      <c r="BT29" s="7"/>
      <c r="BU29" s="2" t="s">
        <v>107</v>
      </c>
      <c r="BV29" s="2" t="s">
        <v>108</v>
      </c>
      <c r="BW29" s="2" t="s">
        <v>134</v>
      </c>
      <c r="BX29" s="2" t="s">
        <v>204</v>
      </c>
      <c r="BY29" s="2" t="s">
        <v>111</v>
      </c>
    </row>
    <row r="30">
      <c r="A30" s="2" t="s">
        <v>205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89</v>
      </c>
      <c r="G30" s="2" t="s">
        <v>90</v>
      </c>
      <c r="H30" s="2" t="s">
        <v>91</v>
      </c>
      <c r="I30" s="2" t="s">
        <v>92</v>
      </c>
      <c r="J30" s="2" t="s">
        <v>113</v>
      </c>
      <c r="K30" s="2" t="s">
        <v>199</v>
      </c>
      <c r="L30" s="3">
        <v>17.1</v>
      </c>
      <c r="M30" s="3">
        <v>17.96</v>
      </c>
      <c r="N30" s="3">
        <v>44.99</v>
      </c>
      <c r="O30" s="2" t="s">
        <v>95</v>
      </c>
      <c r="P30" s="2" t="s">
        <v>150</v>
      </c>
      <c r="Q30" s="2" t="s">
        <v>97</v>
      </c>
      <c r="R30" s="2" t="s">
        <v>98</v>
      </c>
      <c r="S30" s="2" t="s">
        <v>200</v>
      </c>
      <c r="T30" s="2" t="s">
        <v>98</v>
      </c>
      <c r="U30" s="2" t="s">
        <v>100</v>
      </c>
      <c r="V30" s="2" t="s">
        <v>101</v>
      </c>
      <c r="W30" s="2" t="s">
        <v>102</v>
      </c>
      <c r="X30" s="2" t="s">
        <v>103</v>
      </c>
      <c r="Y30" s="2" t="s">
        <v>201</v>
      </c>
      <c r="Z30" s="4">
        <v>252</v>
      </c>
      <c r="AA30" s="4">
        <f>=ROUNDDOWN(12.6,0)</f>
      </c>
      <c r="AB30" s="5">
        <v>20</v>
      </c>
      <c r="AC30" s="2" t="s">
        <v>202</v>
      </c>
      <c r="AD30" s="4">
        <v>72</v>
      </c>
      <c r="AE30" s="4">
        <v>572</v>
      </c>
      <c r="AF30" s="6">
        <v>65</v>
      </c>
      <c r="AG30" s="6"/>
      <c r="AH30" s="7">
        <v>1</v>
      </c>
      <c r="AI30" s="4"/>
      <c r="AJ30" s="4">
        <f>=ROUNDDOWN({0},0)</f>
      </c>
      <c r="AK30" s="5">
        <v>0.1</v>
      </c>
      <c r="AL30" s="2" t="s">
        <v>98</v>
      </c>
      <c r="AM30" s="4"/>
      <c r="AN30" s="4"/>
      <c r="AO30" s="7">
        <v>1</v>
      </c>
      <c r="AP30" s="4">
        <v>16</v>
      </c>
      <c r="AQ30" s="8">
        <v>288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0.3122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154</v>
      </c>
      <c r="BK30" s="8">
        <v>2591.88</v>
      </c>
      <c r="BL30" s="2" t="s">
        <v>206</v>
      </c>
      <c r="BM30" s="7">
        <v>0.1039</v>
      </c>
      <c r="BN30" s="7">
        <v>0.1111</v>
      </c>
      <c r="BO30" s="4">
        <v>16</v>
      </c>
      <c r="BP30" s="8">
        <v>288</v>
      </c>
      <c r="BQ30" s="4"/>
      <c r="BR30" s="8"/>
      <c r="BS30" s="7"/>
      <c r="BT30" s="7"/>
      <c r="BU30" s="2" t="s">
        <v>107</v>
      </c>
      <c r="BV30" s="2" t="s">
        <v>108</v>
      </c>
      <c r="BW30" s="2" t="s">
        <v>134</v>
      </c>
      <c r="BX30" s="2" t="s">
        <v>207</v>
      </c>
      <c r="BY30" s="2" t="s">
        <v>111</v>
      </c>
    </row>
    <row r="31">
      <c r="A31" s="2" t="s">
        <v>208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89</v>
      </c>
      <c r="G31" s="2" t="s">
        <v>90</v>
      </c>
      <c r="H31" s="2" t="s">
        <v>91</v>
      </c>
      <c r="I31" s="2" t="s">
        <v>92</v>
      </c>
      <c r="J31" s="2" t="s">
        <v>118</v>
      </c>
      <c r="K31" s="2" t="s">
        <v>199</v>
      </c>
      <c r="L31" s="3">
        <v>21</v>
      </c>
      <c r="M31" s="3">
        <v>22.05</v>
      </c>
      <c r="N31" s="3">
        <v>49.99</v>
      </c>
      <c r="O31" s="2" t="s">
        <v>95</v>
      </c>
      <c r="P31" s="2" t="s">
        <v>150</v>
      </c>
      <c r="Q31" s="2" t="s">
        <v>97</v>
      </c>
      <c r="R31" s="2" t="s">
        <v>98</v>
      </c>
      <c r="S31" s="2" t="s">
        <v>200</v>
      </c>
      <c r="T31" s="2" t="s">
        <v>98</v>
      </c>
      <c r="U31" s="2" t="s">
        <v>100</v>
      </c>
      <c r="V31" s="2" t="s">
        <v>101</v>
      </c>
      <c r="W31" s="2" t="s">
        <v>102</v>
      </c>
      <c r="X31" s="2" t="s">
        <v>103</v>
      </c>
      <c r="Y31" s="2" t="s">
        <v>201</v>
      </c>
      <c r="Z31" s="4">
        <v>70</v>
      </c>
      <c r="AA31" s="4">
        <f>=ROUNDDOWN(8.75,0)</f>
      </c>
      <c r="AB31" s="5">
        <v>8</v>
      </c>
      <c r="AC31" s="2" t="s">
        <v>202</v>
      </c>
      <c r="AD31" s="4">
        <v>236</v>
      </c>
      <c r="AE31" s="4">
        <v>284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17</v>
      </c>
      <c r="AQ31" s="8">
        <v>382.5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0.4146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156</v>
      </c>
      <c r="BK31" s="8">
        <v>3408.53</v>
      </c>
      <c r="BL31" s="2" t="s">
        <v>189</v>
      </c>
      <c r="BM31" s="7">
        <v>0.109</v>
      </c>
      <c r="BN31" s="7">
        <v>0.1122</v>
      </c>
      <c r="BO31" s="4">
        <v>17</v>
      </c>
      <c r="BP31" s="8">
        <v>382.5</v>
      </c>
      <c r="BQ31" s="4"/>
      <c r="BR31" s="8"/>
      <c r="BS31" s="7"/>
      <c r="BT31" s="7"/>
      <c r="BU31" s="2" t="s">
        <v>107</v>
      </c>
      <c r="BV31" s="2" t="s">
        <v>108</v>
      </c>
      <c r="BW31" s="2" t="s">
        <v>134</v>
      </c>
      <c r="BX31" s="2" t="s">
        <v>197</v>
      </c>
      <c r="BY31" s="2" t="s">
        <v>111</v>
      </c>
    </row>
    <row r="32">
      <c r="A32" s="2" t="s">
        <v>209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89</v>
      </c>
      <c r="G32" s="2" t="s">
        <v>90</v>
      </c>
      <c r="H32" s="2" t="s">
        <v>91</v>
      </c>
      <c r="I32" s="2" t="s">
        <v>92</v>
      </c>
      <c r="J32" s="2" t="s">
        <v>122</v>
      </c>
      <c r="K32" s="2" t="s">
        <v>199</v>
      </c>
      <c r="L32" s="3">
        <v>23.1</v>
      </c>
      <c r="M32" s="3">
        <v>24.26</v>
      </c>
      <c r="N32" s="3">
        <v>54.99</v>
      </c>
      <c r="O32" s="2" t="s">
        <v>95</v>
      </c>
      <c r="P32" s="2" t="s">
        <v>150</v>
      </c>
      <c r="Q32" s="2" t="s">
        <v>97</v>
      </c>
      <c r="R32" s="2" t="s">
        <v>98</v>
      </c>
      <c r="S32" s="2" t="s">
        <v>200</v>
      </c>
      <c r="T32" s="2" t="s">
        <v>98</v>
      </c>
      <c r="U32" s="2" t="s">
        <v>100</v>
      </c>
      <c r="V32" s="2" t="s">
        <v>101</v>
      </c>
      <c r="W32" s="2" t="s">
        <v>102</v>
      </c>
      <c r="X32" s="2" t="s">
        <v>103</v>
      </c>
      <c r="Y32" s="2" t="s">
        <v>201</v>
      </c>
      <c r="Z32" s="4"/>
      <c r="AA32" s="4">
        <f>=ROUNDDOWN({0},0)</f>
      </c>
      <c r="AB32" s="5">
        <v>7</v>
      </c>
      <c r="AC32" s="2" t="s">
        <v>114</v>
      </c>
      <c r="AD32" s="4">
        <v>96</v>
      </c>
      <c r="AE32" s="4">
        <v>244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69</v>
      </c>
      <c r="BK32" s="8">
        <v>1707.04</v>
      </c>
      <c r="BL32" s="2" t="s">
        <v>210</v>
      </c>
      <c r="BM32" s="7"/>
      <c r="BN32" s="7"/>
      <c r="BO32" s="4"/>
      <c r="BP32" s="8"/>
      <c r="BQ32" s="4"/>
      <c r="BR32" s="8"/>
      <c r="BS32" s="7"/>
      <c r="BT32" s="7"/>
      <c r="BU32" s="2" t="s">
        <v>211</v>
      </c>
      <c r="BV32" s="2" t="s">
        <v>95</v>
      </c>
      <c r="BW32" s="2" t="s">
        <v>134</v>
      </c>
      <c r="BX32" s="2" t="s">
        <v>212</v>
      </c>
      <c r="BY32" s="2" t="s">
        <v>111</v>
      </c>
    </row>
    <row r="33">
      <c r="A33" s="2" t="s">
        <v>213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89</v>
      </c>
      <c r="G33" s="2" t="s">
        <v>90</v>
      </c>
      <c r="H33" s="2" t="s">
        <v>91</v>
      </c>
      <c r="I33" s="2" t="s">
        <v>92</v>
      </c>
      <c r="J33" s="2" t="s">
        <v>93</v>
      </c>
      <c r="K33" s="2" t="s">
        <v>214</v>
      </c>
      <c r="L33" s="3">
        <v>16</v>
      </c>
      <c r="M33" s="3">
        <v>16.8</v>
      </c>
      <c r="N33" s="3">
        <v>39.99</v>
      </c>
      <c r="O33" s="2" t="s">
        <v>95</v>
      </c>
      <c r="P33" s="2" t="s">
        <v>215</v>
      </c>
      <c r="Q33" s="2" t="s">
        <v>97</v>
      </c>
      <c r="R33" s="2" t="s">
        <v>98</v>
      </c>
      <c r="S33" s="2" t="s">
        <v>216</v>
      </c>
      <c r="T33" s="2" t="s">
        <v>98</v>
      </c>
      <c r="U33" s="2" t="s">
        <v>100</v>
      </c>
      <c r="V33" s="2" t="s">
        <v>101</v>
      </c>
      <c r="W33" s="2" t="s">
        <v>102</v>
      </c>
      <c r="X33" s="2" t="s">
        <v>98</v>
      </c>
      <c r="Y33" s="2" t="s">
        <v>104</v>
      </c>
      <c r="Z33" s="4">
        <v>5</v>
      </c>
      <c r="AA33" s="4">
        <f>=ROUNDDOWN(0.166666666666667,0)</f>
      </c>
      <c r="AB33" s="5">
        <v>30</v>
      </c>
      <c r="AC33" s="2" t="s">
        <v>105</v>
      </c>
      <c r="AD33" s="4">
        <v>336</v>
      </c>
      <c r="AE33" s="4">
        <v>636</v>
      </c>
      <c r="AF33" s="6">
        <v>65</v>
      </c>
      <c r="AG33" s="6"/>
      <c r="AH33" s="7">
        <v>1</v>
      </c>
      <c r="AI33" s="4">
        <v>1</v>
      </c>
      <c r="AJ33" s="4">
        <f>=ROUNDDOWN(2,0)</f>
      </c>
      <c r="AK33" s="5">
        <v>0.5</v>
      </c>
      <c r="AL33" s="2" t="s">
        <v>98</v>
      </c>
      <c r="AM33" s="4"/>
      <c r="AN33" s="4"/>
      <c r="AO33" s="7">
        <v>1</v>
      </c>
      <c r="AP33" s="4">
        <v>21</v>
      </c>
      <c r="AQ33" s="8">
        <v>352.8</v>
      </c>
      <c r="AR33" s="4">
        <v>90</v>
      </c>
      <c r="AS33" s="8">
        <v>1227.6</v>
      </c>
      <c r="AT33" s="7">
        <v>-0.7667</v>
      </c>
      <c r="AU33" s="7">
        <v>-0.7126</v>
      </c>
      <c r="AV33" s="4">
        <v>42</v>
      </c>
      <c r="AW33" s="8">
        <v>771.3</v>
      </c>
      <c r="AX33" s="4">
        <v>153</v>
      </c>
      <c r="AY33" s="8">
        <v>2159.51</v>
      </c>
      <c r="AZ33" s="7">
        <v>-0.7255</v>
      </c>
      <c r="BA33" s="7">
        <v>-0.6428</v>
      </c>
      <c r="BB33" s="7">
        <v>0.4574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0.0673</v>
      </c>
      <c r="BJ33" s="4">
        <v>261</v>
      </c>
      <c r="BK33" s="8">
        <v>3894.27</v>
      </c>
      <c r="BL33" s="2" t="s">
        <v>217</v>
      </c>
      <c r="BM33" s="7">
        <v>0.0805</v>
      </c>
      <c r="BN33" s="7">
        <v>0.0906</v>
      </c>
      <c r="BO33" s="4">
        <v>21</v>
      </c>
      <c r="BP33" s="8">
        <v>352.8</v>
      </c>
      <c r="BQ33" s="4">
        <v>90</v>
      </c>
      <c r="BR33" s="8">
        <v>1227.6</v>
      </c>
      <c r="BS33" s="7">
        <v>-0.7667</v>
      </c>
      <c r="BT33" s="7">
        <v>-0.7126</v>
      </c>
      <c r="BU33" s="2" t="s">
        <v>107</v>
      </c>
      <c r="BV33" s="2" t="s">
        <v>108</v>
      </c>
      <c r="BW33" s="2" t="s">
        <v>109</v>
      </c>
      <c r="BX33" s="2" t="s">
        <v>218</v>
      </c>
      <c r="BY33" s="2" t="s">
        <v>111</v>
      </c>
    </row>
    <row r="34">
      <c r="A34" s="2" t="s">
        <v>219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89</v>
      </c>
      <c r="G34" s="2" t="s">
        <v>90</v>
      </c>
      <c r="H34" s="2" t="s">
        <v>91</v>
      </c>
      <c r="I34" s="2" t="s">
        <v>92</v>
      </c>
      <c r="J34" s="2" t="s">
        <v>113</v>
      </c>
      <c r="K34" s="2" t="s">
        <v>214</v>
      </c>
      <c r="L34" s="3">
        <v>17.1</v>
      </c>
      <c r="M34" s="3">
        <v>17.96</v>
      </c>
      <c r="N34" s="3">
        <v>44.99</v>
      </c>
      <c r="O34" s="2" t="s">
        <v>95</v>
      </c>
      <c r="P34" s="2" t="s">
        <v>220</v>
      </c>
      <c r="Q34" s="2" t="s">
        <v>97</v>
      </c>
      <c r="R34" s="2" t="s">
        <v>98</v>
      </c>
      <c r="S34" s="2" t="s">
        <v>216</v>
      </c>
      <c r="T34" s="2" t="s">
        <v>98</v>
      </c>
      <c r="U34" s="2" t="s">
        <v>100</v>
      </c>
      <c r="V34" s="2" t="s">
        <v>101</v>
      </c>
      <c r="W34" s="2" t="s">
        <v>102</v>
      </c>
      <c r="X34" s="2" t="s">
        <v>98</v>
      </c>
      <c r="Y34" s="2" t="s">
        <v>104</v>
      </c>
      <c r="Z34" s="4"/>
      <c r="AA34" s="4">
        <f>=ROUNDDOWN({0},0)</f>
      </c>
      <c r="AB34" s="5">
        <v>13</v>
      </c>
      <c r="AC34" s="2" t="s">
        <v>105</v>
      </c>
      <c r="AD34" s="4">
        <v>252</v>
      </c>
      <c r="AE34" s="4">
        <v>300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12</v>
      </c>
      <c r="AQ34" s="8">
        <v>216</v>
      </c>
      <c r="AR34" s="4">
        <v>57</v>
      </c>
      <c r="AS34" s="8">
        <v>820.23</v>
      </c>
      <c r="AT34" s="7">
        <v>-0.7895</v>
      </c>
      <c r="AU34" s="7">
        <v>-0.7367</v>
      </c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126</v>
      </c>
      <c r="BK34" s="8">
        <v>2041.88</v>
      </c>
      <c r="BL34" s="2" t="s">
        <v>221</v>
      </c>
      <c r="BM34" s="7">
        <v>0.0952</v>
      </c>
      <c r="BN34" s="7">
        <v>0.1058</v>
      </c>
      <c r="BO34" s="4">
        <v>12</v>
      </c>
      <c r="BP34" s="8">
        <v>216</v>
      </c>
      <c r="BQ34" s="4">
        <v>57</v>
      </c>
      <c r="BR34" s="8">
        <v>820.23</v>
      </c>
      <c r="BS34" s="7">
        <v>-0.7895</v>
      </c>
      <c r="BT34" s="7">
        <v>-0.7367</v>
      </c>
      <c r="BU34" s="2" t="s">
        <v>107</v>
      </c>
      <c r="BV34" s="2" t="s">
        <v>108</v>
      </c>
      <c r="BW34" s="2" t="s">
        <v>109</v>
      </c>
      <c r="BX34" s="2" t="s">
        <v>222</v>
      </c>
      <c r="BY34" s="2" t="s">
        <v>111</v>
      </c>
    </row>
    <row r="35">
      <c r="A35" s="2" t="s">
        <v>223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89</v>
      </c>
      <c r="G35" s="2" t="s">
        <v>90</v>
      </c>
      <c r="H35" s="2" t="s">
        <v>91</v>
      </c>
      <c r="I35" s="2" t="s">
        <v>92</v>
      </c>
      <c r="J35" s="2" t="s">
        <v>118</v>
      </c>
      <c r="K35" s="2" t="s">
        <v>214</v>
      </c>
      <c r="L35" s="3">
        <v>21</v>
      </c>
      <c r="M35" s="3">
        <v>22.05</v>
      </c>
      <c r="N35" s="3">
        <v>49.99</v>
      </c>
      <c r="O35" s="2" t="s">
        <v>95</v>
      </c>
      <c r="P35" s="2" t="s">
        <v>215</v>
      </c>
      <c r="Q35" s="2" t="s">
        <v>97</v>
      </c>
      <c r="R35" s="2" t="s">
        <v>98</v>
      </c>
      <c r="S35" s="2" t="s">
        <v>216</v>
      </c>
      <c r="T35" s="2" t="s">
        <v>98</v>
      </c>
      <c r="U35" s="2" t="s">
        <v>100</v>
      </c>
      <c r="V35" s="2" t="s">
        <v>101</v>
      </c>
      <c r="W35" s="2" t="s">
        <v>102</v>
      </c>
      <c r="X35" s="2" t="s">
        <v>98</v>
      </c>
      <c r="Y35" s="2" t="s">
        <v>104</v>
      </c>
      <c r="Z35" s="4">
        <v>69</v>
      </c>
      <c r="AA35" s="4">
        <f>=ROUNDDOWN(7.5,0)</f>
      </c>
      <c r="AB35" s="5">
        <v>9.2</v>
      </c>
      <c r="AC35" s="2" t="s">
        <v>224</v>
      </c>
      <c r="AD35" s="4">
        <v>56</v>
      </c>
      <c r="AE35" s="4">
        <v>56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9</v>
      </c>
      <c r="AQ35" s="8">
        <v>202.5</v>
      </c>
      <c r="AR35" s="4">
        <v>4</v>
      </c>
      <c r="AS35" s="8">
        <v>71.48</v>
      </c>
      <c r="AT35" s="7">
        <v>1.25</v>
      </c>
      <c r="AU35" s="7">
        <v>1.833</v>
      </c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0.2625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39</v>
      </c>
      <c r="BK35" s="8">
        <v>830.06</v>
      </c>
      <c r="BL35" s="2" t="s">
        <v>225</v>
      </c>
      <c r="BM35" s="7">
        <v>0.2308</v>
      </c>
      <c r="BN35" s="7">
        <v>0.244</v>
      </c>
      <c r="BO35" s="4">
        <v>9</v>
      </c>
      <c r="BP35" s="8">
        <v>202.5</v>
      </c>
      <c r="BQ35" s="4">
        <v>4</v>
      </c>
      <c r="BR35" s="8">
        <v>71.48</v>
      </c>
      <c r="BS35" s="7">
        <v>1.25</v>
      </c>
      <c r="BT35" s="7">
        <v>1.833</v>
      </c>
      <c r="BU35" s="2" t="s">
        <v>107</v>
      </c>
      <c r="BV35" s="2" t="s">
        <v>108</v>
      </c>
      <c r="BW35" s="2" t="s">
        <v>109</v>
      </c>
      <c r="BX35" s="2" t="s">
        <v>142</v>
      </c>
      <c r="BY35" s="2" t="s">
        <v>111</v>
      </c>
    </row>
    <row r="36">
      <c r="A36" s="2" t="s">
        <v>226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89</v>
      </c>
      <c r="G36" s="2" t="s">
        <v>90</v>
      </c>
      <c r="H36" s="2" t="s">
        <v>91</v>
      </c>
      <c r="I36" s="2" t="s">
        <v>92</v>
      </c>
      <c r="J36" s="2" t="s">
        <v>122</v>
      </c>
      <c r="K36" s="2" t="s">
        <v>214</v>
      </c>
      <c r="L36" s="3">
        <v>23.1</v>
      </c>
      <c r="M36" s="3">
        <v>24.26</v>
      </c>
      <c r="N36" s="3">
        <v>54.99</v>
      </c>
      <c r="O36" s="2" t="s">
        <v>95</v>
      </c>
      <c r="P36" s="2" t="s">
        <v>220</v>
      </c>
      <c r="Q36" s="2" t="s">
        <v>97</v>
      </c>
      <c r="R36" s="2" t="s">
        <v>98</v>
      </c>
      <c r="S36" s="2" t="s">
        <v>216</v>
      </c>
      <c r="T36" s="2" t="s">
        <v>98</v>
      </c>
      <c r="U36" s="2" t="s">
        <v>100</v>
      </c>
      <c r="V36" s="2" t="s">
        <v>101</v>
      </c>
      <c r="W36" s="2" t="s">
        <v>102</v>
      </c>
      <c r="X36" s="2" t="s">
        <v>98</v>
      </c>
      <c r="Y36" s="2" t="s">
        <v>104</v>
      </c>
      <c r="Z36" s="4">
        <v>13</v>
      </c>
      <c r="AA36" s="4">
        <f>=ROUNDDOWN(2.88888888888889,0)</f>
      </c>
      <c r="AB36" s="5">
        <v>4.5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2</v>
      </c>
      <c r="AS36" s="8">
        <v>40.2</v>
      </c>
      <c r="AT36" s="7">
        <v>-1</v>
      </c>
      <c r="AU36" s="7">
        <v>-1</v>
      </c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21</v>
      </c>
      <c r="BK36" s="8">
        <v>463.62</v>
      </c>
      <c r="BL36" s="2" t="s">
        <v>227</v>
      </c>
      <c r="BM36" s="7"/>
      <c r="BN36" s="7"/>
      <c r="BO36" s="4"/>
      <c r="BP36" s="8"/>
      <c r="BQ36" s="4">
        <v>2</v>
      </c>
      <c r="BR36" s="8">
        <v>40.2</v>
      </c>
      <c r="BS36" s="7">
        <v>-1</v>
      </c>
      <c r="BT36" s="7">
        <v>-1</v>
      </c>
      <c r="BU36" s="2" t="s">
        <v>107</v>
      </c>
      <c r="BV36" s="2" t="s">
        <v>108</v>
      </c>
      <c r="BW36" s="2" t="s">
        <v>109</v>
      </c>
      <c r="BX36" s="2" t="s">
        <v>228</v>
      </c>
      <c r="BY36" s="2" t="s">
        <v>111</v>
      </c>
    </row>
    <row r="37">
      <c r="A37" s="2" t="s">
        <v>229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89</v>
      </c>
      <c r="G37" s="2" t="s">
        <v>90</v>
      </c>
      <c r="H37" s="2" t="s">
        <v>91</v>
      </c>
      <c r="I37" s="2" t="s">
        <v>92</v>
      </c>
      <c r="J37" s="2" t="s">
        <v>93</v>
      </c>
      <c r="K37" s="2" t="s">
        <v>230</v>
      </c>
      <c r="L37" s="3">
        <v>16</v>
      </c>
      <c r="M37" s="3">
        <v>16.8</v>
      </c>
      <c r="N37" s="3">
        <v>39.99</v>
      </c>
      <c r="O37" s="2" t="s">
        <v>95</v>
      </c>
      <c r="P37" s="2" t="s">
        <v>215</v>
      </c>
      <c r="Q37" s="2" t="s">
        <v>97</v>
      </c>
      <c r="R37" s="2" t="s">
        <v>98</v>
      </c>
      <c r="S37" s="2" t="s">
        <v>231</v>
      </c>
      <c r="T37" s="2" t="s">
        <v>98</v>
      </c>
      <c r="U37" s="2" t="s">
        <v>100</v>
      </c>
      <c r="V37" s="2" t="s">
        <v>101</v>
      </c>
      <c r="W37" s="2" t="s">
        <v>102</v>
      </c>
      <c r="X37" s="2" t="s">
        <v>98</v>
      </c>
      <c r="Y37" s="2" t="s">
        <v>232</v>
      </c>
      <c r="Z37" s="4"/>
      <c r="AA37" s="4">
        <f>=ROUNDDOWN({0},0)</f>
      </c>
      <c r="AB37" s="5">
        <v>14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14</v>
      </c>
      <c r="AQ37" s="8">
        <v>235.2</v>
      </c>
      <c r="AR37" s="4">
        <v>102</v>
      </c>
      <c r="AS37" s="8">
        <v>1391.28</v>
      </c>
      <c r="AT37" s="7">
        <v>-0.8627</v>
      </c>
      <c r="AU37" s="7">
        <v>-0.8309</v>
      </c>
      <c r="AV37" s="4">
        <v>28</v>
      </c>
      <c r="AW37" s="8">
        <v>551.3</v>
      </c>
      <c r="AX37" s="4">
        <v>260</v>
      </c>
      <c r="AY37" s="8">
        <v>3918.57</v>
      </c>
      <c r="AZ37" s="7">
        <v>-0.8923</v>
      </c>
      <c r="BA37" s="7">
        <v>-0.8593</v>
      </c>
      <c r="BB37" s="7">
        <v>0.4266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0.0481</v>
      </c>
      <c r="BJ37" s="4">
        <v>191</v>
      </c>
      <c r="BK37" s="8">
        <v>2944.89</v>
      </c>
      <c r="BL37" s="2" t="s">
        <v>233</v>
      </c>
      <c r="BM37" s="7">
        <v>0.0733</v>
      </c>
      <c r="BN37" s="7">
        <v>0.0799</v>
      </c>
      <c r="BO37" s="4">
        <v>14</v>
      </c>
      <c r="BP37" s="8">
        <v>235.2</v>
      </c>
      <c r="BQ37" s="4">
        <v>102</v>
      </c>
      <c r="BR37" s="8">
        <v>1391.28</v>
      </c>
      <c r="BS37" s="7">
        <v>-0.8627</v>
      </c>
      <c r="BT37" s="7">
        <v>-0.8309</v>
      </c>
      <c r="BU37" s="2" t="s">
        <v>107</v>
      </c>
      <c r="BV37" s="2" t="s">
        <v>108</v>
      </c>
      <c r="BW37" s="2" t="s">
        <v>109</v>
      </c>
      <c r="BX37" s="2" t="s">
        <v>234</v>
      </c>
      <c r="BY37" s="2" t="s">
        <v>111</v>
      </c>
    </row>
    <row r="38">
      <c r="A38" s="2" t="s">
        <v>235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89</v>
      </c>
      <c r="G38" s="2" t="s">
        <v>90</v>
      </c>
      <c r="H38" s="2" t="s">
        <v>91</v>
      </c>
      <c r="I38" s="2" t="s">
        <v>92</v>
      </c>
      <c r="J38" s="2" t="s">
        <v>113</v>
      </c>
      <c r="K38" s="2" t="s">
        <v>230</v>
      </c>
      <c r="L38" s="3">
        <v>17.1</v>
      </c>
      <c r="M38" s="3">
        <v>17.96</v>
      </c>
      <c r="N38" s="3">
        <v>44.99</v>
      </c>
      <c r="O38" s="2" t="s">
        <v>95</v>
      </c>
      <c r="P38" s="2" t="s">
        <v>215</v>
      </c>
      <c r="Q38" s="2" t="s">
        <v>97</v>
      </c>
      <c r="R38" s="2" t="s">
        <v>98</v>
      </c>
      <c r="S38" s="2" t="s">
        <v>231</v>
      </c>
      <c r="T38" s="2" t="s">
        <v>98</v>
      </c>
      <c r="U38" s="2" t="s">
        <v>100</v>
      </c>
      <c r="V38" s="2" t="s">
        <v>101</v>
      </c>
      <c r="W38" s="2" t="s">
        <v>102</v>
      </c>
      <c r="X38" s="2" t="s">
        <v>98</v>
      </c>
      <c r="Y38" s="2" t="s">
        <v>104</v>
      </c>
      <c r="Z38" s="4">
        <v>72</v>
      </c>
      <c r="AA38" s="4">
        <f>=ROUNDDOWN(10.2857142857143,0)</f>
      </c>
      <c r="AB38" s="5">
        <v>7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18</v>
      </c>
      <c r="AR38" s="4">
        <v>96</v>
      </c>
      <c r="AS38" s="8">
        <v>1381.44</v>
      </c>
      <c r="AT38" s="7">
        <v>-0.9896</v>
      </c>
      <c r="AU38" s="7">
        <v>-0.987</v>
      </c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0.0327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116</v>
      </c>
      <c r="BK38" s="8">
        <v>1829.18</v>
      </c>
      <c r="BL38" s="2" t="s">
        <v>236</v>
      </c>
      <c r="BM38" s="7">
        <v>0.0086</v>
      </c>
      <c r="BN38" s="7">
        <v>0.0098</v>
      </c>
      <c r="BO38" s="4">
        <v>1</v>
      </c>
      <c r="BP38" s="8">
        <v>18</v>
      </c>
      <c r="BQ38" s="4">
        <v>96</v>
      </c>
      <c r="BR38" s="8">
        <v>1381.44</v>
      </c>
      <c r="BS38" s="7">
        <v>-0.9896</v>
      </c>
      <c r="BT38" s="7">
        <v>-0.987</v>
      </c>
      <c r="BU38" s="2" t="s">
        <v>107</v>
      </c>
      <c r="BV38" s="2" t="s">
        <v>108</v>
      </c>
      <c r="BW38" s="2" t="s">
        <v>109</v>
      </c>
      <c r="BX38" s="2" t="s">
        <v>237</v>
      </c>
      <c r="BY38" s="2" t="s">
        <v>111</v>
      </c>
    </row>
    <row r="39">
      <c r="A39" s="2" t="s">
        <v>238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89</v>
      </c>
      <c r="G39" s="2" t="s">
        <v>90</v>
      </c>
      <c r="H39" s="2" t="s">
        <v>91</v>
      </c>
      <c r="I39" s="2" t="s">
        <v>92</v>
      </c>
      <c r="J39" s="2" t="s">
        <v>118</v>
      </c>
      <c r="K39" s="2" t="s">
        <v>230</v>
      </c>
      <c r="L39" s="3">
        <v>21</v>
      </c>
      <c r="M39" s="3">
        <v>22.05</v>
      </c>
      <c r="N39" s="3">
        <v>49.99</v>
      </c>
      <c r="O39" s="2" t="s">
        <v>95</v>
      </c>
      <c r="P39" s="2" t="s">
        <v>215</v>
      </c>
      <c r="Q39" s="2" t="s">
        <v>97</v>
      </c>
      <c r="R39" s="2" t="s">
        <v>98</v>
      </c>
      <c r="S39" s="2" t="s">
        <v>231</v>
      </c>
      <c r="T39" s="2" t="s">
        <v>98</v>
      </c>
      <c r="U39" s="2" t="s">
        <v>100</v>
      </c>
      <c r="V39" s="2" t="s">
        <v>101</v>
      </c>
      <c r="W39" s="2" t="s">
        <v>102</v>
      </c>
      <c r="X39" s="2" t="s">
        <v>98</v>
      </c>
      <c r="Y39" s="2" t="s">
        <v>104</v>
      </c>
      <c r="Z39" s="4">
        <v>80</v>
      </c>
      <c r="AA39" s="4">
        <f>=ROUNDDOWN(20,0)</f>
      </c>
      <c r="AB39" s="5">
        <v>4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11</v>
      </c>
      <c r="AQ39" s="8">
        <v>247.5</v>
      </c>
      <c r="AR39" s="4">
        <v>45</v>
      </c>
      <c r="AS39" s="8">
        <v>804.15</v>
      </c>
      <c r="AT39" s="7">
        <v>-0.7556</v>
      </c>
      <c r="AU39" s="7">
        <v>-0.6922</v>
      </c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0.4489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120</v>
      </c>
      <c r="BK39" s="8">
        <v>2446.6</v>
      </c>
      <c r="BL39" s="2" t="s">
        <v>239</v>
      </c>
      <c r="BM39" s="7">
        <v>0.0917</v>
      </c>
      <c r="BN39" s="7">
        <v>0.1012</v>
      </c>
      <c r="BO39" s="4">
        <v>11</v>
      </c>
      <c r="BP39" s="8">
        <v>247.5</v>
      </c>
      <c r="BQ39" s="4">
        <v>45</v>
      </c>
      <c r="BR39" s="8">
        <v>804.15</v>
      </c>
      <c r="BS39" s="7">
        <v>-0.7556</v>
      </c>
      <c r="BT39" s="7">
        <v>-0.6922</v>
      </c>
      <c r="BU39" s="2" t="s">
        <v>107</v>
      </c>
      <c r="BV39" s="2" t="s">
        <v>108</v>
      </c>
      <c r="BW39" s="2" t="s">
        <v>109</v>
      </c>
      <c r="BX39" s="2" t="s">
        <v>142</v>
      </c>
      <c r="BY39" s="2" t="s">
        <v>111</v>
      </c>
    </row>
    <row r="40">
      <c r="A40" s="2" t="s">
        <v>240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89</v>
      </c>
      <c r="G40" s="2" t="s">
        <v>90</v>
      </c>
      <c r="H40" s="2" t="s">
        <v>91</v>
      </c>
      <c r="I40" s="2" t="s">
        <v>92</v>
      </c>
      <c r="J40" s="2" t="s">
        <v>122</v>
      </c>
      <c r="K40" s="2" t="s">
        <v>230</v>
      </c>
      <c r="L40" s="3">
        <v>23.1</v>
      </c>
      <c r="M40" s="3">
        <v>24.26</v>
      </c>
      <c r="N40" s="3">
        <v>54.99</v>
      </c>
      <c r="O40" s="2" t="s">
        <v>241</v>
      </c>
      <c r="P40" s="2" t="s">
        <v>215</v>
      </c>
      <c r="Q40" s="2" t="s">
        <v>97</v>
      </c>
      <c r="R40" s="2" t="s">
        <v>98</v>
      </c>
      <c r="S40" s="2" t="s">
        <v>231</v>
      </c>
      <c r="T40" s="2" t="s">
        <v>98</v>
      </c>
      <c r="U40" s="2" t="s">
        <v>100</v>
      </c>
      <c r="V40" s="2" t="s">
        <v>101</v>
      </c>
      <c r="W40" s="2" t="s">
        <v>102</v>
      </c>
      <c r="X40" s="2" t="s">
        <v>98</v>
      </c>
      <c r="Y40" s="2" t="s">
        <v>242</v>
      </c>
      <c r="Z40" s="4">
        <v>36</v>
      </c>
      <c r="AA40" s="4">
        <f>=ROUNDDOWN(12.8571428571429,0)</f>
      </c>
      <c r="AB40" s="5">
        <v>2.8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50.6</v>
      </c>
      <c r="AR40" s="4">
        <v>17</v>
      </c>
      <c r="AS40" s="8">
        <v>341.7</v>
      </c>
      <c r="AT40" s="7">
        <v>-0.8824</v>
      </c>
      <c r="AU40" s="7">
        <v>-0.8519</v>
      </c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0.0918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21</v>
      </c>
      <c r="BK40" s="8">
        <v>491.32</v>
      </c>
      <c r="BL40" s="2" t="s">
        <v>243</v>
      </c>
      <c r="BM40" s="7">
        <v>0.0952</v>
      </c>
      <c r="BN40" s="7">
        <v>0.103</v>
      </c>
      <c r="BO40" s="4">
        <v>2</v>
      </c>
      <c r="BP40" s="8">
        <v>50.6</v>
      </c>
      <c r="BQ40" s="4">
        <v>17</v>
      </c>
      <c r="BR40" s="8">
        <v>341.7</v>
      </c>
      <c r="BS40" s="7">
        <v>-0.8824</v>
      </c>
      <c r="BT40" s="7">
        <v>-0.8519</v>
      </c>
      <c r="BU40" s="2" t="s">
        <v>107</v>
      </c>
      <c r="BV40" s="2" t="s">
        <v>108</v>
      </c>
      <c r="BW40" s="2" t="s">
        <v>244</v>
      </c>
      <c r="BX40" s="2" t="s">
        <v>245</v>
      </c>
      <c r="BY40" s="2" t="s">
        <v>111</v>
      </c>
    </row>
    <row r="41">
      <c r="A41" s="2" t="s">
        <v>246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89</v>
      </c>
      <c r="G41" s="2" t="s">
        <v>90</v>
      </c>
      <c r="H41" s="2" t="s">
        <v>91</v>
      </c>
      <c r="I41" s="2" t="s">
        <v>92</v>
      </c>
      <c r="J41" s="2" t="s">
        <v>93</v>
      </c>
      <c r="K41" s="2" t="s">
        <v>247</v>
      </c>
      <c r="L41" s="3">
        <v>16</v>
      </c>
      <c r="M41" s="3">
        <v>16.8</v>
      </c>
      <c r="N41" s="3">
        <v>39.99</v>
      </c>
      <c r="O41" s="2" t="s">
        <v>95</v>
      </c>
      <c r="P41" s="2" t="s">
        <v>150</v>
      </c>
      <c r="Q41" s="2" t="s">
        <v>97</v>
      </c>
      <c r="R41" s="2" t="s">
        <v>98</v>
      </c>
      <c r="S41" s="2" t="s">
        <v>248</v>
      </c>
      <c r="T41" s="2" t="s">
        <v>98</v>
      </c>
      <c r="U41" s="2" t="s">
        <v>100</v>
      </c>
      <c r="V41" s="2" t="s">
        <v>101</v>
      </c>
      <c r="W41" s="2" t="s">
        <v>102</v>
      </c>
      <c r="X41" s="2" t="s">
        <v>103</v>
      </c>
      <c r="Y41" s="2" t="s">
        <v>249</v>
      </c>
      <c r="Z41" s="4">
        <v>582</v>
      </c>
      <c r="AA41" s="4">
        <f>=ROUNDDOWN(18.7741935483871,0)</f>
      </c>
      <c r="AB41" s="5">
        <v>31</v>
      </c>
      <c r="AC41" s="2" t="s">
        <v>250</v>
      </c>
      <c r="AD41" s="4">
        <v>400</v>
      </c>
      <c r="AE41" s="4">
        <v>1024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0.8556</v>
      </c>
      <c r="AP41" s="4">
        <v>11</v>
      </c>
      <c r="AQ41" s="8">
        <v>184.8</v>
      </c>
      <c r="AR41" s="4"/>
      <c r="AS41" s="8"/>
      <c r="AT41" s="7"/>
      <c r="AU41" s="7"/>
      <c r="AV41" s="4">
        <v>26</v>
      </c>
      <c r="AW41" s="8">
        <v>505.4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0.3657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0.0441</v>
      </c>
      <c r="BJ41" s="4">
        <v>486</v>
      </c>
      <c r="BK41" s="8">
        <v>7699.36</v>
      </c>
      <c r="BL41" s="2" t="s">
        <v>251</v>
      </c>
      <c r="BM41" s="7">
        <v>0.0226</v>
      </c>
      <c r="BN41" s="7">
        <v>0.024</v>
      </c>
      <c r="BO41" s="4">
        <v>11</v>
      </c>
      <c r="BP41" s="8">
        <v>184.8</v>
      </c>
      <c r="BQ41" s="4"/>
      <c r="BR41" s="8"/>
      <c r="BS41" s="7"/>
      <c r="BT41" s="7"/>
      <c r="BU41" s="2" t="s">
        <v>107</v>
      </c>
      <c r="BV41" s="2" t="s">
        <v>108</v>
      </c>
      <c r="BW41" s="2" t="s">
        <v>134</v>
      </c>
      <c r="BX41" s="2" t="s">
        <v>197</v>
      </c>
      <c r="BY41" s="2" t="s">
        <v>111</v>
      </c>
    </row>
    <row r="42">
      <c r="A42" s="2" t="s">
        <v>252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89</v>
      </c>
      <c r="G42" s="2" t="s">
        <v>90</v>
      </c>
      <c r="H42" s="2" t="s">
        <v>91</v>
      </c>
      <c r="I42" s="2" t="s">
        <v>92</v>
      </c>
      <c r="J42" s="2" t="s">
        <v>113</v>
      </c>
      <c r="K42" s="2" t="s">
        <v>247</v>
      </c>
      <c r="L42" s="3">
        <v>17.1</v>
      </c>
      <c r="M42" s="3">
        <v>17.96</v>
      </c>
      <c r="N42" s="3">
        <v>44.99</v>
      </c>
      <c r="O42" s="2" t="s">
        <v>95</v>
      </c>
      <c r="P42" s="2" t="s">
        <v>150</v>
      </c>
      <c r="Q42" s="2" t="s">
        <v>97</v>
      </c>
      <c r="R42" s="2" t="s">
        <v>98</v>
      </c>
      <c r="S42" s="2" t="s">
        <v>248</v>
      </c>
      <c r="T42" s="2" t="s">
        <v>98</v>
      </c>
      <c r="U42" s="2" t="s">
        <v>100</v>
      </c>
      <c r="V42" s="2" t="s">
        <v>101</v>
      </c>
      <c r="W42" s="2" t="s">
        <v>102</v>
      </c>
      <c r="X42" s="2" t="s">
        <v>103</v>
      </c>
      <c r="Y42" s="2" t="s">
        <v>249</v>
      </c>
      <c r="Z42" s="4">
        <v>240</v>
      </c>
      <c r="AA42" s="4">
        <f>=ROUNDDOWN(18.75,0)</f>
      </c>
      <c r="AB42" s="5">
        <v>12.8</v>
      </c>
      <c r="AC42" s="2" t="s">
        <v>253</v>
      </c>
      <c r="AD42" s="4">
        <v>244</v>
      </c>
      <c r="AE42" s="4">
        <v>300</v>
      </c>
      <c r="AF42" s="6">
        <v>65</v>
      </c>
      <c r="AG42" s="6"/>
      <c r="AH42" s="7">
        <v>1</v>
      </c>
      <c r="AI42" s="4"/>
      <c r="AJ42" s="4">
        <f>=ROUNDDOWN({0},0)</f>
      </c>
      <c r="AK42" s="5">
        <v>0.3</v>
      </c>
      <c r="AL42" s="2" t="s">
        <v>98</v>
      </c>
      <c r="AM42" s="4"/>
      <c r="AN42" s="4"/>
      <c r="AO42" s="7">
        <v>1</v>
      </c>
      <c r="AP42" s="4">
        <v>5</v>
      </c>
      <c r="AQ42" s="8">
        <v>90</v>
      </c>
      <c r="AR42" s="4"/>
      <c r="AS42" s="8"/>
      <c r="AT42" s="7"/>
      <c r="AU42" s="7"/>
      <c r="AV42" s="4" t="s">
        <v>98</v>
      </c>
      <c r="AW42" s="8" t="s">
        <v>98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0.1781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 t="s">
        <v>98</v>
      </c>
      <c r="BJ42" s="4">
        <v>184</v>
      </c>
      <c r="BK42" s="8">
        <v>3234.65</v>
      </c>
      <c r="BL42" s="2" t="s">
        <v>254</v>
      </c>
      <c r="BM42" s="7">
        <v>0.0272</v>
      </c>
      <c r="BN42" s="7">
        <v>0.0278</v>
      </c>
      <c r="BO42" s="4">
        <v>5</v>
      </c>
      <c r="BP42" s="8">
        <v>90</v>
      </c>
      <c r="BQ42" s="4"/>
      <c r="BR42" s="8"/>
      <c r="BS42" s="7"/>
      <c r="BT42" s="7"/>
      <c r="BU42" s="2" t="s">
        <v>107</v>
      </c>
      <c r="BV42" s="2" t="s">
        <v>108</v>
      </c>
      <c r="BW42" s="2" t="s">
        <v>134</v>
      </c>
      <c r="BX42" s="2" t="s">
        <v>204</v>
      </c>
      <c r="BY42" s="2" t="s">
        <v>111</v>
      </c>
    </row>
    <row r="43">
      <c r="A43" s="2" t="s">
        <v>255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89</v>
      </c>
      <c r="G43" s="2" t="s">
        <v>90</v>
      </c>
      <c r="H43" s="2" t="s">
        <v>91</v>
      </c>
      <c r="I43" s="2" t="s">
        <v>92</v>
      </c>
      <c r="J43" s="2" t="s">
        <v>118</v>
      </c>
      <c r="K43" s="2" t="s">
        <v>247</v>
      </c>
      <c r="L43" s="3">
        <v>21</v>
      </c>
      <c r="M43" s="3">
        <v>22.05</v>
      </c>
      <c r="N43" s="3">
        <v>49.99</v>
      </c>
      <c r="O43" s="2" t="s">
        <v>95</v>
      </c>
      <c r="P43" s="2" t="s">
        <v>150</v>
      </c>
      <c r="Q43" s="2" t="s">
        <v>97</v>
      </c>
      <c r="R43" s="2" t="s">
        <v>98</v>
      </c>
      <c r="S43" s="2" t="s">
        <v>248</v>
      </c>
      <c r="T43" s="2" t="s">
        <v>98</v>
      </c>
      <c r="U43" s="2" t="s">
        <v>100</v>
      </c>
      <c r="V43" s="2" t="s">
        <v>101</v>
      </c>
      <c r="W43" s="2" t="s">
        <v>102</v>
      </c>
      <c r="X43" s="2" t="s">
        <v>103</v>
      </c>
      <c r="Y43" s="2" t="s">
        <v>249</v>
      </c>
      <c r="Z43" s="4">
        <v>155</v>
      </c>
      <c r="AA43" s="4">
        <f>=ROUNDDOWN(11.0714285714286,0)</f>
      </c>
      <c r="AB43" s="5">
        <v>14</v>
      </c>
      <c r="AC43" s="2" t="s">
        <v>250</v>
      </c>
      <c r="AD43" s="4">
        <v>156</v>
      </c>
      <c r="AE43" s="4">
        <v>540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8</v>
      </c>
      <c r="AQ43" s="8">
        <v>180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0.3562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185</v>
      </c>
      <c r="BK43" s="8">
        <v>4032.4</v>
      </c>
      <c r="BL43" s="2" t="s">
        <v>256</v>
      </c>
      <c r="BM43" s="7">
        <v>0.0432</v>
      </c>
      <c r="BN43" s="7">
        <v>0.0446</v>
      </c>
      <c r="BO43" s="4">
        <v>8</v>
      </c>
      <c r="BP43" s="8">
        <v>180</v>
      </c>
      <c r="BQ43" s="4"/>
      <c r="BR43" s="8"/>
      <c r="BS43" s="7"/>
      <c r="BT43" s="7"/>
      <c r="BU43" s="2" t="s">
        <v>107</v>
      </c>
      <c r="BV43" s="2" t="s">
        <v>108</v>
      </c>
      <c r="BW43" s="2" t="s">
        <v>134</v>
      </c>
      <c r="BX43" s="2" t="s">
        <v>257</v>
      </c>
      <c r="BY43" s="2" t="s">
        <v>111</v>
      </c>
    </row>
    <row r="44">
      <c r="A44" s="2" t="s">
        <v>258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89</v>
      </c>
      <c r="G44" s="2" t="s">
        <v>90</v>
      </c>
      <c r="H44" s="2" t="s">
        <v>91</v>
      </c>
      <c r="I44" s="2" t="s">
        <v>92</v>
      </c>
      <c r="J44" s="2" t="s">
        <v>122</v>
      </c>
      <c r="K44" s="2" t="s">
        <v>247</v>
      </c>
      <c r="L44" s="3">
        <v>23.1</v>
      </c>
      <c r="M44" s="3">
        <v>24.26</v>
      </c>
      <c r="N44" s="3">
        <v>54.99</v>
      </c>
      <c r="O44" s="2" t="s">
        <v>95</v>
      </c>
      <c r="P44" s="2" t="s">
        <v>150</v>
      </c>
      <c r="Q44" s="2" t="s">
        <v>97</v>
      </c>
      <c r="R44" s="2" t="s">
        <v>98</v>
      </c>
      <c r="S44" s="2" t="s">
        <v>248</v>
      </c>
      <c r="T44" s="2" t="s">
        <v>98</v>
      </c>
      <c r="U44" s="2" t="s">
        <v>100</v>
      </c>
      <c r="V44" s="2" t="s">
        <v>101</v>
      </c>
      <c r="W44" s="2" t="s">
        <v>102</v>
      </c>
      <c r="X44" s="2" t="s">
        <v>103</v>
      </c>
      <c r="Y44" s="2" t="s">
        <v>249</v>
      </c>
      <c r="Z44" s="4">
        <v>46</v>
      </c>
      <c r="AA44" s="4">
        <f>=ROUNDDOWN(11.5,0)</f>
      </c>
      <c r="AB44" s="5">
        <v>4</v>
      </c>
      <c r="AC44" s="2" t="s">
        <v>250</v>
      </c>
      <c r="AD44" s="4">
        <v>32</v>
      </c>
      <c r="AE44" s="4">
        <v>128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50.6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0.1001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60</v>
      </c>
      <c r="BK44" s="8">
        <v>1484.32</v>
      </c>
      <c r="BL44" s="2" t="s">
        <v>225</v>
      </c>
      <c r="BM44" s="7">
        <v>0.0333</v>
      </c>
      <c r="BN44" s="7">
        <v>0.0341</v>
      </c>
      <c r="BO44" s="4">
        <v>2</v>
      </c>
      <c r="BP44" s="8">
        <v>50.6</v>
      </c>
      <c r="BQ44" s="4"/>
      <c r="BR44" s="8"/>
      <c r="BS44" s="7"/>
      <c r="BT44" s="7"/>
      <c r="BU44" s="2" t="s">
        <v>107</v>
      </c>
      <c r="BV44" s="2" t="s">
        <v>108</v>
      </c>
      <c r="BW44" s="2" t="s">
        <v>134</v>
      </c>
      <c r="BX44" s="2" t="s">
        <v>259</v>
      </c>
      <c r="BY44" s="2" t="s">
        <v>111</v>
      </c>
    </row>
    <row r="45">
      <c r="A45" s="2" t="s">
        <v>260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89</v>
      </c>
      <c r="G45" s="2" t="s">
        <v>90</v>
      </c>
      <c r="H45" s="2" t="s">
        <v>91</v>
      </c>
      <c r="I45" s="2" t="s">
        <v>92</v>
      </c>
      <c r="J45" s="2" t="s">
        <v>93</v>
      </c>
      <c r="K45" s="2" t="s">
        <v>261</v>
      </c>
      <c r="L45" s="3">
        <v>16</v>
      </c>
      <c r="M45" s="3">
        <v>16.8</v>
      </c>
      <c r="N45" s="3">
        <v>39.99</v>
      </c>
      <c r="O45" s="2" t="s">
        <v>95</v>
      </c>
      <c r="P45" s="2" t="s">
        <v>150</v>
      </c>
      <c r="Q45" s="2" t="s">
        <v>97</v>
      </c>
      <c r="R45" s="2" t="s">
        <v>98</v>
      </c>
      <c r="S45" s="2" t="s">
        <v>262</v>
      </c>
      <c r="T45" s="2" t="s">
        <v>98</v>
      </c>
      <c r="U45" s="2" t="s">
        <v>100</v>
      </c>
      <c r="V45" s="2" t="s">
        <v>101</v>
      </c>
      <c r="W45" s="2" t="s">
        <v>102</v>
      </c>
      <c r="X45" s="2" t="s">
        <v>103</v>
      </c>
      <c r="Y45" s="2" t="s">
        <v>104</v>
      </c>
      <c r="Z45" s="4">
        <v>778</v>
      </c>
      <c r="AA45" s="4">
        <f>=ROUNDDOWN(59.8461538461538,0)</f>
      </c>
      <c r="AB45" s="5">
        <v>13</v>
      </c>
      <c r="AC45" s="2" t="s">
        <v>98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9</v>
      </c>
      <c r="AQ45" s="8">
        <v>151.2</v>
      </c>
      <c r="AR45" s="4">
        <v>82</v>
      </c>
      <c r="AS45" s="8">
        <v>1118.48</v>
      </c>
      <c r="AT45" s="7">
        <v>-0.8902</v>
      </c>
      <c r="AU45" s="7">
        <v>-0.8648</v>
      </c>
      <c r="AV45" s="4">
        <v>20</v>
      </c>
      <c r="AW45" s="8">
        <v>387.4</v>
      </c>
      <c r="AX45" s="4">
        <v>164</v>
      </c>
      <c r="AY45" s="8">
        <v>2403.84</v>
      </c>
      <c r="AZ45" s="7">
        <v>-0.878</v>
      </c>
      <c r="BA45" s="7">
        <v>-0.8388</v>
      </c>
      <c r="BB45" s="7">
        <v>0.3903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0.0338</v>
      </c>
      <c r="BJ45" s="4">
        <v>328</v>
      </c>
      <c r="BK45" s="8">
        <v>4908.81</v>
      </c>
      <c r="BL45" s="2" t="s">
        <v>180</v>
      </c>
      <c r="BM45" s="7">
        <v>0.0274</v>
      </c>
      <c r="BN45" s="7">
        <v>0.0308</v>
      </c>
      <c r="BO45" s="4">
        <v>9</v>
      </c>
      <c r="BP45" s="8">
        <v>151.2</v>
      </c>
      <c r="BQ45" s="4">
        <v>82</v>
      </c>
      <c r="BR45" s="8">
        <v>1118.48</v>
      </c>
      <c r="BS45" s="7">
        <v>-0.8902</v>
      </c>
      <c r="BT45" s="7">
        <v>-0.8648</v>
      </c>
      <c r="BU45" s="2" t="s">
        <v>107</v>
      </c>
      <c r="BV45" s="2" t="s">
        <v>108</v>
      </c>
      <c r="BW45" s="2" t="s">
        <v>109</v>
      </c>
      <c r="BX45" s="2" t="s">
        <v>142</v>
      </c>
      <c r="BY45" s="2" t="s">
        <v>111</v>
      </c>
    </row>
    <row r="46">
      <c r="A46" s="2" t="s">
        <v>263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89</v>
      </c>
      <c r="G46" s="2" t="s">
        <v>90</v>
      </c>
      <c r="H46" s="2" t="s">
        <v>91</v>
      </c>
      <c r="I46" s="2" t="s">
        <v>92</v>
      </c>
      <c r="J46" s="2" t="s">
        <v>113</v>
      </c>
      <c r="K46" s="2" t="s">
        <v>261</v>
      </c>
      <c r="L46" s="3">
        <v>17.1</v>
      </c>
      <c r="M46" s="3">
        <v>17.96</v>
      </c>
      <c r="N46" s="3">
        <v>44.99</v>
      </c>
      <c r="O46" s="2" t="s">
        <v>95</v>
      </c>
      <c r="P46" s="2" t="s">
        <v>150</v>
      </c>
      <c r="Q46" s="2" t="s">
        <v>97</v>
      </c>
      <c r="R46" s="2" t="s">
        <v>98</v>
      </c>
      <c r="S46" s="2" t="s">
        <v>262</v>
      </c>
      <c r="T46" s="2" t="s">
        <v>98</v>
      </c>
      <c r="U46" s="2" t="s">
        <v>100</v>
      </c>
      <c r="V46" s="2" t="s">
        <v>101</v>
      </c>
      <c r="W46" s="2" t="s">
        <v>102</v>
      </c>
      <c r="X46" s="2" t="s">
        <v>103</v>
      </c>
      <c r="Y46" s="2" t="s">
        <v>104</v>
      </c>
      <c r="Z46" s="4">
        <v>65</v>
      </c>
      <c r="AA46" s="4">
        <f>=ROUNDDOWN(5,0)</f>
      </c>
      <c r="AB46" s="5">
        <v>13</v>
      </c>
      <c r="AC46" s="2" t="s">
        <v>264</v>
      </c>
      <c r="AD46" s="4">
        <v>272</v>
      </c>
      <c r="AE46" s="4">
        <v>544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5</v>
      </c>
      <c r="AQ46" s="8">
        <v>90</v>
      </c>
      <c r="AR46" s="4">
        <v>53</v>
      </c>
      <c r="AS46" s="8">
        <v>762.67</v>
      </c>
      <c r="AT46" s="7">
        <v>-0.9057</v>
      </c>
      <c r="AU46" s="7">
        <v>-0.882</v>
      </c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0.2323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135</v>
      </c>
      <c r="BK46" s="8">
        <v>2112.03</v>
      </c>
      <c r="BL46" s="2" t="s">
        <v>265</v>
      </c>
      <c r="BM46" s="7">
        <v>0.037</v>
      </c>
      <c r="BN46" s="7">
        <v>0.0426</v>
      </c>
      <c r="BO46" s="4">
        <v>5</v>
      </c>
      <c r="BP46" s="8">
        <v>90</v>
      </c>
      <c r="BQ46" s="4">
        <v>53</v>
      </c>
      <c r="BR46" s="8">
        <v>762.67</v>
      </c>
      <c r="BS46" s="7">
        <v>-0.9057</v>
      </c>
      <c r="BT46" s="7">
        <v>-0.882</v>
      </c>
      <c r="BU46" s="2" t="s">
        <v>107</v>
      </c>
      <c r="BV46" s="2" t="s">
        <v>108</v>
      </c>
      <c r="BW46" s="2" t="s">
        <v>109</v>
      </c>
      <c r="BX46" s="2" t="s">
        <v>266</v>
      </c>
      <c r="BY46" s="2" t="s">
        <v>111</v>
      </c>
    </row>
    <row r="47">
      <c r="A47" s="2" t="s">
        <v>267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89</v>
      </c>
      <c r="G47" s="2" t="s">
        <v>90</v>
      </c>
      <c r="H47" s="2" t="s">
        <v>91</v>
      </c>
      <c r="I47" s="2" t="s">
        <v>92</v>
      </c>
      <c r="J47" s="2" t="s">
        <v>118</v>
      </c>
      <c r="K47" s="2" t="s">
        <v>261</v>
      </c>
      <c r="L47" s="3">
        <v>21</v>
      </c>
      <c r="M47" s="3">
        <v>22.05</v>
      </c>
      <c r="N47" s="3">
        <v>49.99</v>
      </c>
      <c r="O47" s="2" t="s">
        <v>95</v>
      </c>
      <c r="P47" s="2" t="s">
        <v>150</v>
      </c>
      <c r="Q47" s="2" t="s">
        <v>97</v>
      </c>
      <c r="R47" s="2" t="s">
        <v>98</v>
      </c>
      <c r="S47" s="2" t="s">
        <v>262</v>
      </c>
      <c r="T47" s="2" t="s">
        <v>98</v>
      </c>
      <c r="U47" s="2" t="s">
        <v>100</v>
      </c>
      <c r="V47" s="2" t="s">
        <v>101</v>
      </c>
      <c r="W47" s="2" t="s">
        <v>102</v>
      </c>
      <c r="X47" s="2" t="s">
        <v>103</v>
      </c>
      <c r="Y47" s="2" t="s">
        <v>268</v>
      </c>
      <c r="Z47" s="4">
        <v>169</v>
      </c>
      <c r="AA47" s="4">
        <f>=ROUNDDOWN(42.25,0)</f>
      </c>
      <c r="AB47" s="5"/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2</v>
      </c>
      <c r="AQ47" s="8">
        <v>45</v>
      </c>
      <c r="AR47" s="4">
        <v>27</v>
      </c>
      <c r="AS47" s="8">
        <v>482.49</v>
      </c>
      <c r="AT47" s="7">
        <v>-0.9259</v>
      </c>
      <c r="AU47" s="7">
        <v>-0.9067</v>
      </c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0.1162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51</v>
      </c>
      <c r="BK47" s="8">
        <v>1096.4</v>
      </c>
      <c r="BL47" s="2" t="s">
        <v>269</v>
      </c>
      <c r="BM47" s="7">
        <v>0.0392</v>
      </c>
      <c r="BN47" s="7">
        <v>0.041</v>
      </c>
      <c r="BO47" s="4">
        <v>2</v>
      </c>
      <c r="BP47" s="8">
        <v>45</v>
      </c>
      <c r="BQ47" s="4">
        <v>27</v>
      </c>
      <c r="BR47" s="8">
        <v>482.49</v>
      </c>
      <c r="BS47" s="7">
        <v>-0.9259</v>
      </c>
      <c r="BT47" s="7">
        <v>-0.9067</v>
      </c>
      <c r="BU47" s="2" t="s">
        <v>107</v>
      </c>
      <c r="BV47" s="2" t="s">
        <v>108</v>
      </c>
      <c r="BW47" s="2" t="s">
        <v>109</v>
      </c>
      <c r="BX47" s="2" t="s">
        <v>270</v>
      </c>
      <c r="BY47" s="2" t="s">
        <v>111</v>
      </c>
    </row>
    <row r="48">
      <c r="A48" s="2" t="s">
        <v>271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89</v>
      </c>
      <c r="G48" s="2" t="s">
        <v>90</v>
      </c>
      <c r="H48" s="2" t="s">
        <v>91</v>
      </c>
      <c r="I48" s="2" t="s">
        <v>92</v>
      </c>
      <c r="J48" s="2" t="s">
        <v>122</v>
      </c>
      <c r="K48" s="2" t="s">
        <v>261</v>
      </c>
      <c r="L48" s="3">
        <v>23.1</v>
      </c>
      <c r="M48" s="3">
        <v>24.26</v>
      </c>
      <c r="N48" s="3">
        <v>54.99</v>
      </c>
      <c r="O48" s="2" t="s">
        <v>95</v>
      </c>
      <c r="P48" s="2" t="s">
        <v>150</v>
      </c>
      <c r="Q48" s="2" t="s">
        <v>97</v>
      </c>
      <c r="R48" s="2" t="s">
        <v>98</v>
      </c>
      <c r="S48" s="2" t="s">
        <v>262</v>
      </c>
      <c r="T48" s="2" t="s">
        <v>98</v>
      </c>
      <c r="U48" s="2" t="s">
        <v>100</v>
      </c>
      <c r="V48" s="2" t="s">
        <v>101</v>
      </c>
      <c r="W48" s="2" t="s">
        <v>102</v>
      </c>
      <c r="X48" s="2" t="s">
        <v>103</v>
      </c>
      <c r="Y48" s="2" t="s">
        <v>104</v>
      </c>
      <c r="Z48" s="4">
        <v>121</v>
      </c>
      <c r="AA48" s="4">
        <f>=ROUNDDOWN(24.2,0)</f>
      </c>
      <c r="AB48" s="5">
        <v>5</v>
      </c>
      <c r="AC48" s="2" t="s">
        <v>272</v>
      </c>
      <c r="AD48" s="4">
        <v>68</v>
      </c>
      <c r="AE48" s="4">
        <v>68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4</v>
      </c>
      <c r="AQ48" s="8">
        <v>101.2</v>
      </c>
      <c r="AR48" s="4">
        <v>2</v>
      </c>
      <c r="AS48" s="8">
        <v>40.2</v>
      </c>
      <c r="AT48" s="7">
        <v>1</v>
      </c>
      <c r="AU48" s="7">
        <v>1.5174</v>
      </c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0.2612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36</v>
      </c>
      <c r="BK48" s="8">
        <v>793.07</v>
      </c>
      <c r="BL48" s="2" t="s">
        <v>273</v>
      </c>
      <c r="BM48" s="7">
        <v>0.1111</v>
      </c>
      <c r="BN48" s="7">
        <v>0.1276</v>
      </c>
      <c r="BO48" s="4">
        <v>4</v>
      </c>
      <c r="BP48" s="8">
        <v>101.2</v>
      </c>
      <c r="BQ48" s="4">
        <v>2</v>
      </c>
      <c r="BR48" s="8">
        <v>40.2</v>
      </c>
      <c r="BS48" s="7">
        <v>1</v>
      </c>
      <c r="BT48" s="7">
        <v>1.5174</v>
      </c>
      <c r="BU48" s="2" t="s">
        <v>107</v>
      </c>
      <c r="BV48" s="2" t="s">
        <v>108</v>
      </c>
      <c r="BW48" s="2" t="s">
        <v>109</v>
      </c>
      <c r="BX48" s="2" t="s">
        <v>274</v>
      </c>
      <c r="BY48" s="2" t="s">
        <v>111</v>
      </c>
    </row>
    <row r="49">
      <c r="A49" s="2" t="s">
        <v>275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89</v>
      </c>
      <c r="G49" s="2" t="s">
        <v>90</v>
      </c>
      <c r="H49" s="2" t="s">
        <v>91</v>
      </c>
      <c r="I49" s="2" t="s">
        <v>92</v>
      </c>
      <c r="J49" s="2" t="s">
        <v>93</v>
      </c>
      <c r="K49" s="2" t="s">
        <v>276</v>
      </c>
      <c r="L49" s="3">
        <v>16</v>
      </c>
      <c r="M49" s="3">
        <v>16.8</v>
      </c>
      <c r="N49" s="3">
        <v>39.99</v>
      </c>
      <c r="O49" s="2" t="s">
        <v>95</v>
      </c>
      <c r="P49" s="2" t="s">
        <v>215</v>
      </c>
      <c r="Q49" s="2" t="s">
        <v>97</v>
      </c>
      <c r="R49" s="2" t="s">
        <v>98</v>
      </c>
      <c r="S49" s="2" t="s">
        <v>277</v>
      </c>
      <c r="T49" s="2" t="s">
        <v>98</v>
      </c>
      <c r="U49" s="2" t="s">
        <v>100</v>
      </c>
      <c r="V49" s="2" t="s">
        <v>101</v>
      </c>
      <c r="W49" s="2" t="s">
        <v>102</v>
      </c>
      <c r="X49" s="2" t="s">
        <v>103</v>
      </c>
      <c r="Y49" s="2" t="s">
        <v>104</v>
      </c>
      <c r="Z49" s="4">
        <v>151</v>
      </c>
      <c r="AA49" s="4">
        <f>=ROUNDDOWN(8.88235294117647,0)</f>
      </c>
      <c r="AB49" s="5">
        <v>17</v>
      </c>
      <c r="AC49" s="2" t="s">
        <v>278</v>
      </c>
      <c r="AD49" s="4">
        <v>336</v>
      </c>
      <c r="AE49" s="4">
        <v>336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8</v>
      </c>
      <c r="AQ49" s="8">
        <v>134.4</v>
      </c>
      <c r="AR49" s="4">
        <v>34</v>
      </c>
      <c r="AS49" s="8">
        <v>463.76</v>
      </c>
      <c r="AT49" s="7">
        <v>-0.7647</v>
      </c>
      <c r="AU49" s="7">
        <v>-0.7102</v>
      </c>
      <c r="AV49" s="4">
        <v>19</v>
      </c>
      <c r="AW49" s="8">
        <v>361.6</v>
      </c>
      <c r="AX49" s="4">
        <v>113</v>
      </c>
      <c r="AY49" s="8">
        <v>1710.41</v>
      </c>
      <c r="AZ49" s="7">
        <v>-0.8319</v>
      </c>
      <c r="BA49" s="7">
        <v>-0.7886</v>
      </c>
      <c r="BB49" s="7">
        <v>0.3717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0.0316</v>
      </c>
      <c r="BJ49" s="4">
        <v>272</v>
      </c>
      <c r="BK49" s="8">
        <v>3958.88</v>
      </c>
      <c r="BL49" s="2" t="s">
        <v>279</v>
      </c>
      <c r="BM49" s="7">
        <v>0.0294</v>
      </c>
      <c r="BN49" s="7">
        <v>0.0339</v>
      </c>
      <c r="BO49" s="4">
        <v>8</v>
      </c>
      <c r="BP49" s="8">
        <v>134.4</v>
      </c>
      <c r="BQ49" s="4">
        <v>34</v>
      </c>
      <c r="BR49" s="8">
        <v>463.76</v>
      </c>
      <c r="BS49" s="7">
        <v>-0.7647</v>
      </c>
      <c r="BT49" s="7">
        <v>-0.7102</v>
      </c>
      <c r="BU49" s="2" t="s">
        <v>107</v>
      </c>
      <c r="BV49" s="2" t="s">
        <v>108</v>
      </c>
      <c r="BW49" s="2" t="s">
        <v>109</v>
      </c>
      <c r="BX49" s="2" t="s">
        <v>280</v>
      </c>
      <c r="BY49" s="2" t="s">
        <v>111</v>
      </c>
    </row>
    <row r="50">
      <c r="A50" s="2" t="s">
        <v>281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89</v>
      </c>
      <c r="G50" s="2" t="s">
        <v>90</v>
      </c>
      <c r="H50" s="2" t="s">
        <v>91</v>
      </c>
      <c r="I50" s="2" t="s">
        <v>92</v>
      </c>
      <c r="J50" s="2" t="s">
        <v>113</v>
      </c>
      <c r="K50" s="2" t="s">
        <v>276</v>
      </c>
      <c r="L50" s="3">
        <v>17.1</v>
      </c>
      <c r="M50" s="3">
        <v>17.96</v>
      </c>
      <c r="N50" s="3">
        <v>44.99</v>
      </c>
      <c r="O50" s="2" t="s">
        <v>95</v>
      </c>
      <c r="P50" s="2" t="s">
        <v>215</v>
      </c>
      <c r="Q50" s="2" t="s">
        <v>97</v>
      </c>
      <c r="R50" s="2" t="s">
        <v>98</v>
      </c>
      <c r="S50" s="2" t="s">
        <v>277</v>
      </c>
      <c r="T50" s="2" t="s">
        <v>98</v>
      </c>
      <c r="U50" s="2" t="s">
        <v>100</v>
      </c>
      <c r="V50" s="2" t="s">
        <v>101</v>
      </c>
      <c r="W50" s="2" t="s">
        <v>102</v>
      </c>
      <c r="X50" s="2" t="s">
        <v>103</v>
      </c>
      <c r="Y50" s="2" t="s">
        <v>104</v>
      </c>
      <c r="Z50" s="4">
        <v>93</v>
      </c>
      <c r="AA50" s="4">
        <f>=ROUNDDOWN(13.2857142857143,0)</f>
      </c>
      <c r="AB50" s="5">
        <v>7</v>
      </c>
      <c r="AC50" s="2" t="s">
        <v>278</v>
      </c>
      <c r="AD50" s="4">
        <v>96</v>
      </c>
      <c r="AE50" s="4">
        <v>96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7</v>
      </c>
      <c r="AQ50" s="8">
        <v>126</v>
      </c>
      <c r="AR50" s="4">
        <v>50</v>
      </c>
      <c r="AS50" s="8">
        <v>719.5</v>
      </c>
      <c r="AT50" s="7">
        <v>-0.86</v>
      </c>
      <c r="AU50" s="7">
        <v>-0.8249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0.3485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128</v>
      </c>
      <c r="BK50" s="8">
        <v>1973.15</v>
      </c>
      <c r="BL50" s="2" t="s">
        <v>282</v>
      </c>
      <c r="BM50" s="7">
        <v>0.0547</v>
      </c>
      <c r="BN50" s="7">
        <v>0.0639</v>
      </c>
      <c r="BO50" s="4">
        <v>7</v>
      </c>
      <c r="BP50" s="8">
        <v>126</v>
      </c>
      <c r="BQ50" s="4">
        <v>50</v>
      </c>
      <c r="BR50" s="8">
        <v>719.5</v>
      </c>
      <c r="BS50" s="7">
        <v>-0.86</v>
      </c>
      <c r="BT50" s="7">
        <v>-0.8249</v>
      </c>
      <c r="BU50" s="2" t="s">
        <v>107</v>
      </c>
      <c r="BV50" s="2" t="s">
        <v>108</v>
      </c>
      <c r="BW50" s="2" t="s">
        <v>109</v>
      </c>
      <c r="BX50" s="2" t="s">
        <v>139</v>
      </c>
      <c r="BY50" s="2" t="s">
        <v>111</v>
      </c>
    </row>
    <row r="51">
      <c r="A51" s="2" t="s">
        <v>283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89</v>
      </c>
      <c r="G51" s="2" t="s">
        <v>90</v>
      </c>
      <c r="H51" s="2" t="s">
        <v>91</v>
      </c>
      <c r="I51" s="2" t="s">
        <v>92</v>
      </c>
      <c r="J51" s="2" t="s">
        <v>118</v>
      </c>
      <c r="K51" s="2" t="s">
        <v>276</v>
      </c>
      <c r="L51" s="3">
        <v>21</v>
      </c>
      <c r="M51" s="3">
        <v>22.05</v>
      </c>
      <c r="N51" s="3">
        <v>49.99</v>
      </c>
      <c r="O51" s="2" t="s">
        <v>95</v>
      </c>
      <c r="P51" s="2" t="s">
        <v>215</v>
      </c>
      <c r="Q51" s="2" t="s">
        <v>97</v>
      </c>
      <c r="R51" s="2" t="s">
        <v>98</v>
      </c>
      <c r="S51" s="2" t="s">
        <v>277</v>
      </c>
      <c r="T51" s="2" t="s">
        <v>98</v>
      </c>
      <c r="U51" s="2" t="s">
        <v>100</v>
      </c>
      <c r="V51" s="2" t="s">
        <v>101</v>
      </c>
      <c r="W51" s="2" t="s">
        <v>102</v>
      </c>
      <c r="X51" s="2" t="s">
        <v>103</v>
      </c>
      <c r="Y51" s="2" t="s">
        <v>104</v>
      </c>
      <c r="Z51" s="4">
        <v>237</v>
      </c>
      <c r="AA51" s="4">
        <f>=ROUNDDOWN(59.25,0)</f>
      </c>
      <c r="AB51" s="5">
        <v>4</v>
      </c>
      <c r="AC51" s="2" t="s">
        <v>98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25</v>
      </c>
      <c r="AS51" s="8">
        <v>446.75</v>
      </c>
      <c r="AT51" s="7">
        <v>-1</v>
      </c>
      <c r="AU51" s="7">
        <v>-1</v>
      </c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33</v>
      </c>
      <c r="BK51" s="8">
        <v>645.39</v>
      </c>
      <c r="BL51" s="2" t="s">
        <v>284</v>
      </c>
      <c r="BM51" s="7"/>
      <c r="BN51" s="7"/>
      <c r="BO51" s="4"/>
      <c r="BP51" s="8"/>
      <c r="BQ51" s="4">
        <v>25</v>
      </c>
      <c r="BR51" s="8">
        <v>446.75</v>
      </c>
      <c r="BS51" s="7">
        <v>-1</v>
      </c>
      <c r="BT51" s="7">
        <v>-1</v>
      </c>
      <c r="BU51" s="2" t="s">
        <v>107</v>
      </c>
      <c r="BV51" s="2" t="s">
        <v>108</v>
      </c>
      <c r="BW51" s="2" t="s">
        <v>109</v>
      </c>
      <c r="BX51" s="2" t="s">
        <v>285</v>
      </c>
      <c r="BY51" s="2" t="s">
        <v>111</v>
      </c>
    </row>
    <row r="52">
      <c r="A52" s="2" t="s">
        <v>286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89</v>
      </c>
      <c r="G52" s="2" t="s">
        <v>90</v>
      </c>
      <c r="H52" s="2" t="s">
        <v>91</v>
      </c>
      <c r="I52" s="2" t="s">
        <v>92</v>
      </c>
      <c r="J52" s="2" t="s">
        <v>122</v>
      </c>
      <c r="K52" s="2" t="s">
        <v>276</v>
      </c>
      <c r="L52" s="3">
        <v>23.1</v>
      </c>
      <c r="M52" s="3">
        <v>24.26</v>
      </c>
      <c r="N52" s="3">
        <v>54.99</v>
      </c>
      <c r="O52" s="2" t="s">
        <v>95</v>
      </c>
      <c r="P52" s="2" t="s">
        <v>215</v>
      </c>
      <c r="Q52" s="2" t="s">
        <v>97</v>
      </c>
      <c r="R52" s="2" t="s">
        <v>98</v>
      </c>
      <c r="S52" s="2" t="s">
        <v>277</v>
      </c>
      <c r="T52" s="2" t="s">
        <v>98</v>
      </c>
      <c r="U52" s="2" t="s">
        <v>100</v>
      </c>
      <c r="V52" s="2" t="s">
        <v>101</v>
      </c>
      <c r="W52" s="2" t="s">
        <v>102</v>
      </c>
      <c r="X52" s="2" t="s">
        <v>103</v>
      </c>
      <c r="Y52" s="2" t="s">
        <v>104</v>
      </c>
      <c r="Z52" s="4">
        <v>112</v>
      </c>
      <c r="AA52" s="4">
        <f>=ROUNDDOWN(62.2222222222222,0)</f>
      </c>
      <c r="AB52" s="5">
        <v>1.8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4</v>
      </c>
      <c r="AQ52" s="8">
        <v>101.2</v>
      </c>
      <c r="AR52" s="4">
        <v>4</v>
      </c>
      <c r="AS52" s="8">
        <v>80.4</v>
      </c>
      <c r="AT52" s="7"/>
      <c r="AU52" s="7">
        <v>0.2587</v>
      </c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0.2799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65</v>
      </c>
      <c r="BK52" s="8">
        <v>1530.43</v>
      </c>
      <c r="BL52" s="2" t="s">
        <v>287</v>
      </c>
      <c r="BM52" s="7">
        <v>0.0615</v>
      </c>
      <c r="BN52" s="7">
        <v>0.0661</v>
      </c>
      <c r="BO52" s="4">
        <v>4</v>
      </c>
      <c r="BP52" s="8">
        <v>101.2</v>
      </c>
      <c r="BQ52" s="4">
        <v>4</v>
      </c>
      <c r="BR52" s="8">
        <v>80.4</v>
      </c>
      <c r="BS52" s="7"/>
      <c r="BT52" s="7">
        <v>0.2587</v>
      </c>
      <c r="BU52" s="2" t="s">
        <v>107</v>
      </c>
      <c r="BV52" s="2" t="s">
        <v>108</v>
      </c>
      <c r="BW52" s="2" t="s">
        <v>109</v>
      </c>
      <c r="BX52" s="2" t="s">
        <v>288</v>
      </c>
      <c r="BY52" s="2" t="s">
        <v>111</v>
      </c>
    </row>
    <row r="53">
      <c r="A53" s="2" t="s">
        <v>289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89</v>
      </c>
      <c r="G53" s="2" t="s">
        <v>90</v>
      </c>
      <c r="H53" s="2" t="s">
        <v>91</v>
      </c>
      <c r="I53" s="2" t="s">
        <v>92</v>
      </c>
      <c r="J53" s="2" t="s">
        <v>93</v>
      </c>
      <c r="K53" s="2" t="s">
        <v>290</v>
      </c>
      <c r="L53" s="3">
        <v>16</v>
      </c>
      <c r="M53" s="3">
        <v>16.8</v>
      </c>
      <c r="N53" s="3">
        <v>39.99</v>
      </c>
      <c r="O53" s="2" t="s">
        <v>95</v>
      </c>
      <c r="P53" s="2" t="s">
        <v>150</v>
      </c>
      <c r="Q53" s="2" t="s">
        <v>97</v>
      </c>
      <c r="R53" s="2" t="s">
        <v>98</v>
      </c>
      <c r="S53" s="2" t="s">
        <v>291</v>
      </c>
      <c r="T53" s="2" t="s">
        <v>98</v>
      </c>
      <c r="U53" s="2" t="s">
        <v>100</v>
      </c>
      <c r="V53" s="2" t="s">
        <v>101</v>
      </c>
      <c r="W53" s="2" t="s">
        <v>102</v>
      </c>
      <c r="X53" s="2" t="s">
        <v>103</v>
      </c>
      <c r="Y53" s="2" t="s">
        <v>201</v>
      </c>
      <c r="Z53" s="4">
        <v>296</v>
      </c>
      <c r="AA53" s="4">
        <f>=ROUNDDOWN(12.8695652173913,0)</f>
      </c>
      <c r="AB53" s="5">
        <v>23</v>
      </c>
      <c r="AC53" s="2" t="s">
        <v>264</v>
      </c>
      <c r="AD53" s="4">
        <v>120</v>
      </c>
      <c r="AE53" s="4">
        <v>576</v>
      </c>
      <c r="AF53" s="6">
        <v>65</v>
      </c>
      <c r="AG53" s="6"/>
      <c r="AH53" s="7">
        <v>1</v>
      </c>
      <c r="AI53" s="4"/>
      <c r="AJ53" s="4">
        <f>=ROUNDDOWN({0},0)</f>
      </c>
      <c r="AK53" s="5">
        <v>0.9</v>
      </c>
      <c r="AL53" s="2" t="s">
        <v>98</v>
      </c>
      <c r="AM53" s="4"/>
      <c r="AN53" s="4"/>
      <c r="AO53" s="7">
        <v>0.1778</v>
      </c>
      <c r="AP53" s="4">
        <v>9</v>
      </c>
      <c r="AQ53" s="8">
        <v>151.2</v>
      </c>
      <c r="AR53" s="4"/>
      <c r="AS53" s="8"/>
      <c r="AT53" s="7"/>
      <c r="AU53" s="7"/>
      <c r="AV53" s="4">
        <v>20</v>
      </c>
      <c r="AW53" s="8">
        <v>353.7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0.4275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0.0309</v>
      </c>
      <c r="BJ53" s="4">
        <v>296</v>
      </c>
      <c r="BK53" s="8">
        <v>4787.93</v>
      </c>
      <c r="BL53" s="2" t="s">
        <v>292</v>
      </c>
      <c r="BM53" s="7">
        <v>0.0304</v>
      </c>
      <c r="BN53" s="7">
        <v>0.0316</v>
      </c>
      <c r="BO53" s="4">
        <v>9</v>
      </c>
      <c r="BP53" s="8">
        <v>151.2</v>
      </c>
      <c r="BQ53" s="4"/>
      <c r="BR53" s="8"/>
      <c r="BS53" s="7"/>
      <c r="BT53" s="7"/>
      <c r="BU53" s="2" t="s">
        <v>107</v>
      </c>
      <c r="BV53" s="2" t="s">
        <v>108</v>
      </c>
      <c r="BW53" s="2" t="s">
        <v>134</v>
      </c>
      <c r="BX53" s="2" t="s">
        <v>293</v>
      </c>
      <c r="BY53" s="2" t="s">
        <v>111</v>
      </c>
    </row>
    <row r="54">
      <c r="A54" s="2" t="s">
        <v>294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89</v>
      </c>
      <c r="G54" s="2" t="s">
        <v>90</v>
      </c>
      <c r="H54" s="2" t="s">
        <v>91</v>
      </c>
      <c r="I54" s="2" t="s">
        <v>92</v>
      </c>
      <c r="J54" s="2" t="s">
        <v>113</v>
      </c>
      <c r="K54" s="2" t="s">
        <v>290</v>
      </c>
      <c r="L54" s="3">
        <v>17.1</v>
      </c>
      <c r="M54" s="3">
        <v>17.96</v>
      </c>
      <c r="N54" s="3">
        <v>44.99</v>
      </c>
      <c r="O54" s="2" t="s">
        <v>95</v>
      </c>
      <c r="P54" s="2" t="s">
        <v>150</v>
      </c>
      <c r="Q54" s="2" t="s">
        <v>97</v>
      </c>
      <c r="R54" s="2" t="s">
        <v>98</v>
      </c>
      <c r="S54" s="2" t="s">
        <v>291</v>
      </c>
      <c r="T54" s="2" t="s">
        <v>98</v>
      </c>
      <c r="U54" s="2" t="s">
        <v>100</v>
      </c>
      <c r="V54" s="2" t="s">
        <v>101</v>
      </c>
      <c r="W54" s="2" t="s">
        <v>102</v>
      </c>
      <c r="X54" s="2" t="s">
        <v>103</v>
      </c>
      <c r="Y54" s="2" t="s">
        <v>201</v>
      </c>
      <c r="Z54" s="4">
        <v>124</v>
      </c>
      <c r="AA54" s="4">
        <f>=ROUNDDOWN(6.2,0)</f>
      </c>
      <c r="AB54" s="5">
        <v>20</v>
      </c>
      <c r="AC54" s="2" t="s">
        <v>264</v>
      </c>
      <c r="AD54" s="4">
        <v>440</v>
      </c>
      <c r="AE54" s="4">
        <v>708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10</v>
      </c>
      <c r="AQ54" s="8">
        <v>180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0.5089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143</v>
      </c>
      <c r="BK54" s="8">
        <v>2555.91</v>
      </c>
      <c r="BL54" s="2" t="s">
        <v>254</v>
      </c>
      <c r="BM54" s="7">
        <v>0.0699</v>
      </c>
      <c r="BN54" s="7">
        <v>0.0704</v>
      </c>
      <c r="BO54" s="4">
        <v>10</v>
      </c>
      <c r="BP54" s="8">
        <v>180</v>
      </c>
      <c r="BQ54" s="4"/>
      <c r="BR54" s="8"/>
      <c r="BS54" s="7"/>
      <c r="BT54" s="7"/>
      <c r="BU54" s="2" t="s">
        <v>107</v>
      </c>
      <c r="BV54" s="2" t="s">
        <v>108</v>
      </c>
      <c r="BW54" s="2" t="s">
        <v>134</v>
      </c>
      <c r="BX54" s="2" t="s">
        <v>175</v>
      </c>
      <c r="BY54" s="2" t="s">
        <v>111</v>
      </c>
    </row>
    <row r="55">
      <c r="A55" s="2" t="s">
        <v>295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89</v>
      </c>
      <c r="G55" s="2" t="s">
        <v>90</v>
      </c>
      <c r="H55" s="2" t="s">
        <v>91</v>
      </c>
      <c r="I55" s="2" t="s">
        <v>92</v>
      </c>
      <c r="J55" s="2" t="s">
        <v>118</v>
      </c>
      <c r="K55" s="2" t="s">
        <v>290</v>
      </c>
      <c r="L55" s="3">
        <v>21</v>
      </c>
      <c r="M55" s="3">
        <v>22.05</v>
      </c>
      <c r="N55" s="3">
        <v>49.99</v>
      </c>
      <c r="O55" s="2" t="s">
        <v>95</v>
      </c>
      <c r="P55" s="2" t="s">
        <v>150</v>
      </c>
      <c r="Q55" s="2" t="s">
        <v>97</v>
      </c>
      <c r="R55" s="2" t="s">
        <v>98</v>
      </c>
      <c r="S55" s="2" t="s">
        <v>291</v>
      </c>
      <c r="T55" s="2" t="s">
        <v>98</v>
      </c>
      <c r="U55" s="2" t="s">
        <v>100</v>
      </c>
      <c r="V55" s="2" t="s">
        <v>101</v>
      </c>
      <c r="W55" s="2" t="s">
        <v>102</v>
      </c>
      <c r="X55" s="2" t="s">
        <v>103</v>
      </c>
      <c r="Y55" s="2" t="s">
        <v>201</v>
      </c>
      <c r="Z55" s="4">
        <v>108</v>
      </c>
      <c r="AA55" s="4">
        <f>=ROUNDDOWN(15.4285714285714,0)</f>
      </c>
      <c r="AB55" s="5">
        <v>7</v>
      </c>
      <c r="AC55" s="2" t="s">
        <v>264</v>
      </c>
      <c r="AD55" s="4">
        <v>112</v>
      </c>
      <c r="AE55" s="4">
        <v>200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22.5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0.0636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70</v>
      </c>
      <c r="BK55" s="8">
        <v>1524.4</v>
      </c>
      <c r="BL55" s="2" t="s">
        <v>296</v>
      </c>
      <c r="BM55" s="7">
        <v>0.0143</v>
      </c>
      <c r="BN55" s="7">
        <v>0.0148</v>
      </c>
      <c r="BO55" s="4">
        <v>1</v>
      </c>
      <c r="BP55" s="8">
        <v>22.5</v>
      </c>
      <c r="BQ55" s="4"/>
      <c r="BR55" s="8"/>
      <c r="BS55" s="7"/>
      <c r="BT55" s="7"/>
      <c r="BU55" s="2" t="s">
        <v>107</v>
      </c>
      <c r="BV55" s="2" t="s">
        <v>108</v>
      </c>
      <c r="BW55" s="2" t="s">
        <v>134</v>
      </c>
      <c r="BX55" s="2" t="s">
        <v>297</v>
      </c>
      <c r="BY55" s="2" t="s">
        <v>111</v>
      </c>
    </row>
    <row r="56">
      <c r="A56" s="2" t="s">
        <v>298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89</v>
      </c>
      <c r="G56" s="2" t="s">
        <v>90</v>
      </c>
      <c r="H56" s="2" t="s">
        <v>91</v>
      </c>
      <c r="I56" s="2" t="s">
        <v>92</v>
      </c>
      <c r="J56" s="2" t="s">
        <v>93</v>
      </c>
      <c r="K56" s="2" t="s">
        <v>299</v>
      </c>
      <c r="L56" s="3">
        <v>16</v>
      </c>
      <c r="M56" s="3">
        <v>16.8</v>
      </c>
      <c r="N56" s="3">
        <v>39.99</v>
      </c>
      <c r="O56" s="2" t="s">
        <v>95</v>
      </c>
      <c r="P56" s="2" t="s">
        <v>150</v>
      </c>
      <c r="Q56" s="2" t="s">
        <v>97</v>
      </c>
      <c r="R56" s="2" t="s">
        <v>98</v>
      </c>
      <c r="S56" s="2" t="s">
        <v>300</v>
      </c>
      <c r="T56" s="2" t="s">
        <v>98</v>
      </c>
      <c r="U56" s="2" t="s">
        <v>100</v>
      </c>
      <c r="V56" s="2" t="s">
        <v>101</v>
      </c>
      <c r="W56" s="2" t="s">
        <v>102</v>
      </c>
      <c r="X56" s="2" t="s">
        <v>103</v>
      </c>
      <c r="Y56" s="2" t="s">
        <v>201</v>
      </c>
      <c r="Z56" s="4">
        <v>252</v>
      </c>
      <c r="AA56" s="4">
        <f>=ROUNDDOWN(7.2,0)</f>
      </c>
      <c r="AB56" s="5">
        <v>35</v>
      </c>
      <c r="AC56" s="2" t="s">
        <v>144</v>
      </c>
      <c r="AD56" s="4">
        <v>260</v>
      </c>
      <c r="AE56" s="4">
        <v>1424</v>
      </c>
      <c r="AF56" s="6">
        <v>65</v>
      </c>
      <c r="AG56" s="6"/>
      <c r="AH56" s="7">
        <v>1</v>
      </c>
      <c r="AI56" s="4"/>
      <c r="AJ56" s="4">
        <f>=ROUNDDOWN({0},0)</f>
      </c>
      <c r="AK56" s="5">
        <v>0.9</v>
      </c>
      <c r="AL56" s="2" t="s">
        <v>98</v>
      </c>
      <c r="AM56" s="4"/>
      <c r="AN56" s="4"/>
      <c r="AO56" s="7">
        <v>0.2556</v>
      </c>
      <c r="AP56" s="4">
        <v>8</v>
      </c>
      <c r="AQ56" s="8">
        <v>134.4</v>
      </c>
      <c r="AR56" s="4"/>
      <c r="AS56" s="8"/>
      <c r="AT56" s="7"/>
      <c r="AU56" s="7"/>
      <c r="AV56" s="4">
        <v>12</v>
      </c>
      <c r="AW56" s="8">
        <v>221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0.6081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0.0193</v>
      </c>
      <c r="BJ56" s="4">
        <v>301</v>
      </c>
      <c r="BK56" s="8">
        <v>4785.38</v>
      </c>
      <c r="BL56" s="2" t="s">
        <v>301</v>
      </c>
      <c r="BM56" s="7">
        <v>0.0266</v>
      </c>
      <c r="BN56" s="7">
        <v>0.0281</v>
      </c>
      <c r="BO56" s="4">
        <v>8</v>
      </c>
      <c r="BP56" s="8">
        <v>134.4</v>
      </c>
      <c r="BQ56" s="4"/>
      <c r="BR56" s="8"/>
      <c r="BS56" s="7"/>
      <c r="BT56" s="7"/>
      <c r="BU56" s="2" t="s">
        <v>107</v>
      </c>
      <c r="BV56" s="2" t="s">
        <v>108</v>
      </c>
      <c r="BW56" s="2" t="s">
        <v>134</v>
      </c>
      <c r="BX56" s="2" t="s">
        <v>302</v>
      </c>
      <c r="BY56" s="2" t="s">
        <v>111</v>
      </c>
    </row>
    <row r="57">
      <c r="A57" s="2" t="s">
        <v>303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89</v>
      </c>
      <c r="G57" s="2" t="s">
        <v>90</v>
      </c>
      <c r="H57" s="2" t="s">
        <v>91</v>
      </c>
      <c r="I57" s="2" t="s">
        <v>92</v>
      </c>
      <c r="J57" s="2" t="s">
        <v>113</v>
      </c>
      <c r="K57" s="2" t="s">
        <v>299</v>
      </c>
      <c r="L57" s="3">
        <v>17.1</v>
      </c>
      <c r="M57" s="3">
        <v>17.96</v>
      </c>
      <c r="N57" s="3">
        <v>44.99</v>
      </c>
      <c r="O57" s="2" t="s">
        <v>95</v>
      </c>
      <c r="P57" s="2" t="s">
        <v>150</v>
      </c>
      <c r="Q57" s="2" t="s">
        <v>97</v>
      </c>
      <c r="R57" s="2" t="s">
        <v>98</v>
      </c>
      <c r="S57" s="2" t="s">
        <v>300</v>
      </c>
      <c r="T57" s="2" t="s">
        <v>98</v>
      </c>
      <c r="U57" s="2" t="s">
        <v>100</v>
      </c>
      <c r="V57" s="2" t="s">
        <v>101</v>
      </c>
      <c r="W57" s="2" t="s">
        <v>102</v>
      </c>
      <c r="X57" s="2" t="s">
        <v>103</v>
      </c>
      <c r="Y57" s="2" t="s">
        <v>201</v>
      </c>
      <c r="Z57" s="4">
        <v>102</v>
      </c>
      <c r="AA57" s="4">
        <f>=ROUNDDOWN(5.66666666666667,0)</f>
      </c>
      <c r="AB57" s="5">
        <v>18</v>
      </c>
      <c r="AC57" s="2" t="s">
        <v>144</v>
      </c>
      <c r="AD57" s="4">
        <v>60</v>
      </c>
      <c r="AE57" s="4">
        <v>692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</v>
      </c>
      <c r="AQ57" s="8">
        <v>36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0.1629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154</v>
      </c>
      <c r="BK57" s="8">
        <v>2598.37</v>
      </c>
      <c r="BL57" s="2" t="s">
        <v>284</v>
      </c>
      <c r="BM57" s="7">
        <v>0.013</v>
      </c>
      <c r="BN57" s="7">
        <v>0.0139</v>
      </c>
      <c r="BO57" s="4">
        <v>2</v>
      </c>
      <c r="BP57" s="8">
        <v>36</v>
      </c>
      <c r="BQ57" s="4"/>
      <c r="BR57" s="8"/>
      <c r="BS57" s="7"/>
      <c r="BT57" s="7"/>
      <c r="BU57" s="2" t="s">
        <v>107</v>
      </c>
      <c r="BV57" s="2" t="s">
        <v>108</v>
      </c>
      <c r="BW57" s="2" t="s">
        <v>134</v>
      </c>
      <c r="BX57" s="2" t="s">
        <v>304</v>
      </c>
      <c r="BY57" s="2" t="s">
        <v>111</v>
      </c>
    </row>
    <row r="58">
      <c r="A58" s="2" t="s">
        <v>305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89</v>
      </c>
      <c r="G58" s="2" t="s">
        <v>90</v>
      </c>
      <c r="H58" s="2" t="s">
        <v>91</v>
      </c>
      <c r="I58" s="2" t="s">
        <v>92</v>
      </c>
      <c r="J58" s="2" t="s">
        <v>118</v>
      </c>
      <c r="K58" s="2" t="s">
        <v>299</v>
      </c>
      <c r="L58" s="3">
        <v>21</v>
      </c>
      <c r="M58" s="3">
        <v>22.05</v>
      </c>
      <c r="N58" s="3">
        <v>49.99</v>
      </c>
      <c r="O58" s="2" t="s">
        <v>95</v>
      </c>
      <c r="P58" s="2" t="s">
        <v>150</v>
      </c>
      <c r="Q58" s="2" t="s">
        <v>97</v>
      </c>
      <c r="R58" s="2" t="s">
        <v>98</v>
      </c>
      <c r="S58" s="2" t="s">
        <v>300</v>
      </c>
      <c r="T58" s="2" t="s">
        <v>98</v>
      </c>
      <c r="U58" s="2" t="s">
        <v>100</v>
      </c>
      <c r="V58" s="2" t="s">
        <v>101</v>
      </c>
      <c r="W58" s="2" t="s">
        <v>102</v>
      </c>
      <c r="X58" s="2" t="s">
        <v>103</v>
      </c>
      <c r="Y58" s="2" t="s">
        <v>201</v>
      </c>
      <c r="Z58" s="4">
        <v>86</v>
      </c>
      <c r="AA58" s="4">
        <f>=ROUNDDOWN(10.6172839506173,0)</f>
      </c>
      <c r="AB58" s="5">
        <v>8.1</v>
      </c>
      <c r="AC58" s="2" t="s">
        <v>144</v>
      </c>
      <c r="AD58" s="4">
        <v>88</v>
      </c>
      <c r="AE58" s="4">
        <v>360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63</v>
      </c>
      <c r="BK58" s="8">
        <v>1294.84</v>
      </c>
      <c r="BL58" s="2" t="s">
        <v>306</v>
      </c>
      <c r="BM58" s="7"/>
      <c r="BN58" s="7"/>
      <c r="BO58" s="4"/>
      <c r="BP58" s="8"/>
      <c r="BQ58" s="4"/>
      <c r="BR58" s="8"/>
      <c r="BS58" s="7"/>
      <c r="BT58" s="7"/>
      <c r="BU58" s="2" t="s">
        <v>211</v>
      </c>
      <c r="BV58" s="2" t="s">
        <v>95</v>
      </c>
      <c r="BW58" s="2" t="s">
        <v>134</v>
      </c>
      <c r="BX58" s="2" t="s">
        <v>307</v>
      </c>
      <c r="BY58" s="2" t="s">
        <v>111</v>
      </c>
    </row>
    <row r="59">
      <c r="A59" s="2" t="s">
        <v>308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89</v>
      </c>
      <c r="G59" s="2" t="s">
        <v>90</v>
      </c>
      <c r="H59" s="2" t="s">
        <v>91</v>
      </c>
      <c r="I59" s="2" t="s">
        <v>92</v>
      </c>
      <c r="J59" s="2" t="s">
        <v>122</v>
      </c>
      <c r="K59" s="2" t="s">
        <v>299</v>
      </c>
      <c r="L59" s="3">
        <v>23.1</v>
      </c>
      <c r="M59" s="3">
        <v>24.26</v>
      </c>
      <c r="N59" s="3">
        <v>54.99</v>
      </c>
      <c r="O59" s="2" t="s">
        <v>95</v>
      </c>
      <c r="P59" s="2" t="s">
        <v>150</v>
      </c>
      <c r="Q59" s="2" t="s">
        <v>97</v>
      </c>
      <c r="R59" s="2" t="s">
        <v>98</v>
      </c>
      <c r="S59" s="2" t="s">
        <v>300</v>
      </c>
      <c r="T59" s="2" t="s">
        <v>98</v>
      </c>
      <c r="U59" s="2" t="s">
        <v>100</v>
      </c>
      <c r="V59" s="2" t="s">
        <v>101</v>
      </c>
      <c r="W59" s="2" t="s">
        <v>102</v>
      </c>
      <c r="X59" s="2" t="s">
        <v>103</v>
      </c>
      <c r="Y59" s="2" t="s">
        <v>201</v>
      </c>
      <c r="Z59" s="4">
        <v>45</v>
      </c>
      <c r="AA59" s="4">
        <f>=ROUNDDOWN(7.5,0)</f>
      </c>
      <c r="AB59" s="5">
        <v>6</v>
      </c>
      <c r="AC59" s="2" t="s">
        <v>309</v>
      </c>
      <c r="AD59" s="4">
        <v>48</v>
      </c>
      <c r="AE59" s="4">
        <v>140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50.6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0.229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68</v>
      </c>
      <c r="BK59" s="8">
        <v>1647.08</v>
      </c>
      <c r="BL59" s="2" t="s">
        <v>310</v>
      </c>
      <c r="BM59" s="7">
        <v>0.0294</v>
      </c>
      <c r="BN59" s="7">
        <v>0.0307</v>
      </c>
      <c r="BO59" s="4">
        <v>2</v>
      </c>
      <c r="BP59" s="8">
        <v>50.6</v>
      </c>
      <c r="BQ59" s="4"/>
      <c r="BR59" s="8"/>
      <c r="BS59" s="7"/>
      <c r="BT59" s="7"/>
      <c r="BU59" s="2" t="s">
        <v>107</v>
      </c>
      <c r="BV59" s="2" t="s">
        <v>108</v>
      </c>
      <c r="BW59" s="2" t="s">
        <v>134</v>
      </c>
      <c r="BX59" s="2" t="s">
        <v>257</v>
      </c>
      <c r="BY59" s="2" t="s">
        <v>111</v>
      </c>
    </row>
    <row r="60">
      <c r="A60" s="2" t="s">
        <v>311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89</v>
      </c>
      <c r="G60" s="2" t="s">
        <v>90</v>
      </c>
      <c r="H60" s="2" t="s">
        <v>91</v>
      </c>
      <c r="I60" s="2" t="s">
        <v>92</v>
      </c>
      <c r="J60" s="2" t="s">
        <v>93</v>
      </c>
      <c r="K60" s="2" t="s">
        <v>312</v>
      </c>
      <c r="L60" s="3">
        <v>16</v>
      </c>
      <c r="M60" s="3">
        <v>16.8</v>
      </c>
      <c r="N60" s="3">
        <v>39.99</v>
      </c>
      <c r="O60" s="2" t="s">
        <v>95</v>
      </c>
      <c r="P60" s="2" t="s">
        <v>313</v>
      </c>
      <c r="Q60" s="2" t="s">
        <v>97</v>
      </c>
      <c r="R60" s="2" t="s">
        <v>98</v>
      </c>
      <c r="S60" s="2" t="s">
        <v>314</v>
      </c>
      <c r="T60" s="2" t="s">
        <v>98</v>
      </c>
      <c r="U60" s="2" t="s">
        <v>100</v>
      </c>
      <c r="V60" s="2" t="s">
        <v>101</v>
      </c>
      <c r="W60" s="2" t="s">
        <v>102</v>
      </c>
      <c r="X60" s="2" t="s">
        <v>98</v>
      </c>
      <c r="Y60" s="2" t="s">
        <v>315</v>
      </c>
      <c r="Z60" s="4">
        <v>178</v>
      </c>
      <c r="AA60" s="4">
        <f>=ROUNDDOWN(14.8333333333333,0)</f>
      </c>
      <c r="AB60" s="5">
        <v>12</v>
      </c>
      <c r="AC60" s="2" t="s">
        <v>202</v>
      </c>
      <c r="AD60" s="4">
        <v>320</v>
      </c>
      <c r="AE60" s="4">
        <v>320</v>
      </c>
      <c r="AF60" s="6">
        <v>64</v>
      </c>
      <c r="AG60" s="6"/>
      <c r="AH60" s="7">
        <v>0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316</v>
      </c>
      <c r="BV60" s="2" t="s">
        <v>95</v>
      </c>
      <c r="BW60" s="2" t="s">
        <v>98</v>
      </c>
      <c r="BX60" s="2" t="s">
        <v>98</v>
      </c>
      <c r="BY60" s="2" t="s">
        <v>111</v>
      </c>
    </row>
    <row r="61">
      <c r="A61" s="2" t="s">
        <v>317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89</v>
      </c>
      <c r="G61" s="2" t="s">
        <v>90</v>
      </c>
      <c r="H61" s="2" t="s">
        <v>91</v>
      </c>
      <c r="I61" s="2" t="s">
        <v>92</v>
      </c>
      <c r="J61" s="2" t="s">
        <v>113</v>
      </c>
      <c r="K61" s="2" t="s">
        <v>312</v>
      </c>
      <c r="L61" s="3">
        <v>17.1</v>
      </c>
      <c r="M61" s="3">
        <v>17.96</v>
      </c>
      <c r="N61" s="3">
        <v>44.99</v>
      </c>
      <c r="O61" s="2" t="s">
        <v>95</v>
      </c>
      <c r="P61" s="2" t="s">
        <v>313</v>
      </c>
      <c r="Q61" s="2" t="s">
        <v>97</v>
      </c>
      <c r="R61" s="2" t="s">
        <v>98</v>
      </c>
      <c r="S61" s="2" t="s">
        <v>314</v>
      </c>
      <c r="T61" s="2" t="s">
        <v>98</v>
      </c>
      <c r="U61" s="2" t="s">
        <v>100</v>
      </c>
      <c r="V61" s="2" t="s">
        <v>101</v>
      </c>
      <c r="W61" s="2" t="s">
        <v>102</v>
      </c>
      <c r="X61" s="2" t="s">
        <v>98</v>
      </c>
      <c r="Y61" s="2" t="s">
        <v>315</v>
      </c>
      <c r="Z61" s="4">
        <v>129</v>
      </c>
      <c r="AA61" s="4">
        <f>=ROUNDDOWN(32.25,0)</f>
      </c>
      <c r="AB61" s="5">
        <v>4</v>
      </c>
      <c r="AC61" s="2" t="s">
        <v>202</v>
      </c>
      <c r="AD61" s="4">
        <v>172</v>
      </c>
      <c r="AE61" s="4">
        <v>172</v>
      </c>
      <c r="AF61" s="6">
        <v>64</v>
      </c>
      <c r="AG61" s="6"/>
      <c r="AH61" s="7">
        <v>0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316</v>
      </c>
      <c r="BV61" s="2" t="s">
        <v>95</v>
      </c>
      <c r="BW61" s="2" t="s">
        <v>98</v>
      </c>
      <c r="BX61" s="2" t="s">
        <v>98</v>
      </c>
      <c r="BY61" s="2" t="s">
        <v>111</v>
      </c>
    </row>
    <row r="62">
      <c r="A62" s="2" t="s">
        <v>318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89</v>
      </c>
      <c r="G62" s="2" t="s">
        <v>90</v>
      </c>
      <c r="H62" s="2" t="s">
        <v>91</v>
      </c>
      <c r="I62" s="2" t="s">
        <v>92</v>
      </c>
      <c r="J62" s="2" t="s">
        <v>118</v>
      </c>
      <c r="K62" s="2" t="s">
        <v>312</v>
      </c>
      <c r="L62" s="3">
        <v>21</v>
      </c>
      <c r="M62" s="3">
        <v>22.05</v>
      </c>
      <c r="N62" s="3">
        <v>49.99</v>
      </c>
      <c r="O62" s="2" t="s">
        <v>95</v>
      </c>
      <c r="P62" s="2" t="s">
        <v>313</v>
      </c>
      <c r="Q62" s="2" t="s">
        <v>97</v>
      </c>
      <c r="R62" s="2" t="s">
        <v>98</v>
      </c>
      <c r="S62" s="2" t="s">
        <v>314</v>
      </c>
      <c r="T62" s="2" t="s">
        <v>98</v>
      </c>
      <c r="U62" s="2" t="s">
        <v>100</v>
      </c>
      <c r="V62" s="2" t="s">
        <v>101</v>
      </c>
      <c r="W62" s="2" t="s">
        <v>102</v>
      </c>
      <c r="X62" s="2" t="s">
        <v>98</v>
      </c>
      <c r="Y62" s="2" t="s">
        <v>315</v>
      </c>
      <c r="Z62" s="4">
        <v>75</v>
      </c>
      <c r="AA62" s="4">
        <f>=ROUNDDOWN({0},0)</f>
      </c>
      <c r="AB62" s="5"/>
      <c r="AC62" s="2" t="s">
        <v>202</v>
      </c>
      <c r="AD62" s="4">
        <v>80</v>
      </c>
      <c r="AE62" s="4">
        <v>80</v>
      </c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316</v>
      </c>
      <c r="BV62" s="2" t="s">
        <v>95</v>
      </c>
      <c r="BW62" s="2" t="s">
        <v>98</v>
      </c>
      <c r="BX62" s="2" t="s">
        <v>98</v>
      </c>
      <c r="BY62" s="2" t="s">
        <v>111</v>
      </c>
    </row>
    <row r="63">
      <c r="A63" s="2" t="s">
        <v>319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89</v>
      </c>
      <c r="G63" s="2" t="s">
        <v>90</v>
      </c>
      <c r="H63" s="2" t="s">
        <v>91</v>
      </c>
      <c r="I63" s="2" t="s">
        <v>92</v>
      </c>
      <c r="J63" s="2" t="s">
        <v>122</v>
      </c>
      <c r="K63" s="2" t="s">
        <v>312</v>
      </c>
      <c r="L63" s="3">
        <v>23.1</v>
      </c>
      <c r="M63" s="3">
        <v>24.26</v>
      </c>
      <c r="N63" s="3">
        <v>54.99</v>
      </c>
      <c r="O63" s="2" t="s">
        <v>95</v>
      </c>
      <c r="P63" s="2" t="s">
        <v>313</v>
      </c>
      <c r="Q63" s="2" t="s">
        <v>97</v>
      </c>
      <c r="R63" s="2" t="s">
        <v>98</v>
      </c>
      <c r="S63" s="2" t="s">
        <v>314</v>
      </c>
      <c r="T63" s="2" t="s">
        <v>98</v>
      </c>
      <c r="U63" s="2" t="s">
        <v>100</v>
      </c>
      <c r="V63" s="2" t="s">
        <v>101</v>
      </c>
      <c r="W63" s="2" t="s">
        <v>102</v>
      </c>
      <c r="X63" s="2" t="s">
        <v>98</v>
      </c>
      <c r="Y63" s="2" t="s">
        <v>315</v>
      </c>
      <c r="Z63" s="4">
        <v>29</v>
      </c>
      <c r="AA63" s="4">
        <f>=ROUNDDOWN({0},0)</f>
      </c>
      <c r="AB63" s="5"/>
      <c r="AC63" s="2" t="s">
        <v>202</v>
      </c>
      <c r="AD63" s="4">
        <v>32</v>
      </c>
      <c r="AE63" s="4">
        <v>32</v>
      </c>
      <c r="AF63" s="6">
        <v>64</v>
      </c>
      <c r="AG63" s="6"/>
      <c r="AH63" s="7">
        <v>0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316</v>
      </c>
      <c r="BV63" s="2" t="s">
        <v>95</v>
      </c>
      <c r="BW63" s="2" t="s">
        <v>98</v>
      </c>
      <c r="BX63" s="2" t="s">
        <v>98</v>
      </c>
      <c r="BY63" s="2" t="s">
        <v>111</v>
      </c>
    </row>
    <row r="64">
      <c r="A64" s="2" t="s">
        <v>320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89</v>
      </c>
      <c r="G64" s="2" t="s">
        <v>90</v>
      </c>
      <c r="H64" s="2" t="s">
        <v>91</v>
      </c>
      <c r="I64" s="2" t="s">
        <v>127</v>
      </c>
      <c r="J64" s="2" t="s">
        <v>149</v>
      </c>
      <c r="K64" s="2" t="s">
        <v>312</v>
      </c>
      <c r="L64" s="3">
        <v>18.4</v>
      </c>
      <c r="M64" s="3">
        <v>19.32</v>
      </c>
      <c r="N64" s="3">
        <v>39.99</v>
      </c>
      <c r="O64" s="2" t="s">
        <v>95</v>
      </c>
      <c r="P64" s="2" t="s">
        <v>313</v>
      </c>
      <c r="Q64" s="2" t="s">
        <v>97</v>
      </c>
      <c r="R64" s="2" t="s">
        <v>98</v>
      </c>
      <c r="S64" s="2" t="s">
        <v>314</v>
      </c>
      <c r="T64" s="2" t="s">
        <v>98</v>
      </c>
      <c r="U64" s="2" t="s">
        <v>100</v>
      </c>
      <c r="V64" s="2" t="s">
        <v>101</v>
      </c>
      <c r="W64" s="2" t="s">
        <v>102</v>
      </c>
      <c r="X64" s="2" t="s">
        <v>98</v>
      </c>
      <c r="Y64" s="2" t="s">
        <v>315</v>
      </c>
      <c r="Z64" s="4">
        <v>75</v>
      </c>
      <c r="AA64" s="4">
        <f>=ROUNDDOWN({0},0)</f>
      </c>
      <c r="AB64" s="5"/>
      <c r="AC64" s="2" t="s">
        <v>202</v>
      </c>
      <c r="AD64" s="4">
        <v>92</v>
      </c>
      <c r="AE64" s="4">
        <v>92</v>
      </c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/>
      <c r="BK64" s="8"/>
      <c r="BL64" s="2" t="s">
        <v>98</v>
      </c>
      <c r="BM64" s="7"/>
      <c r="BN64" s="7"/>
      <c r="BO64" s="4"/>
      <c r="BP64" s="8"/>
      <c r="BQ64" s="4"/>
      <c r="BR64" s="8"/>
      <c r="BS64" s="7"/>
      <c r="BT64" s="7"/>
      <c r="BU64" s="2" t="s">
        <v>316</v>
      </c>
      <c r="BV64" s="2" t="s">
        <v>95</v>
      </c>
      <c r="BW64" s="2" t="s">
        <v>98</v>
      </c>
      <c r="BX64" s="2" t="s">
        <v>98</v>
      </c>
      <c r="BY64" s="2" t="s">
        <v>111</v>
      </c>
    </row>
    <row r="65">
      <c r="A65" s="2" t="s">
        <v>321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89</v>
      </c>
      <c r="G65" s="2" t="s">
        <v>90</v>
      </c>
      <c r="H65" s="2" t="s">
        <v>91</v>
      </c>
      <c r="I65" s="2" t="s">
        <v>127</v>
      </c>
      <c r="J65" s="2" t="s">
        <v>128</v>
      </c>
      <c r="K65" s="2" t="s">
        <v>312</v>
      </c>
      <c r="L65" s="3">
        <v>20.25</v>
      </c>
      <c r="M65" s="3">
        <v>21.26</v>
      </c>
      <c r="N65" s="3">
        <v>44.99</v>
      </c>
      <c r="O65" s="2" t="s">
        <v>95</v>
      </c>
      <c r="P65" s="2" t="s">
        <v>313</v>
      </c>
      <c r="Q65" s="2" t="s">
        <v>97</v>
      </c>
      <c r="R65" s="2" t="s">
        <v>98</v>
      </c>
      <c r="S65" s="2" t="s">
        <v>314</v>
      </c>
      <c r="T65" s="2" t="s">
        <v>98</v>
      </c>
      <c r="U65" s="2" t="s">
        <v>100</v>
      </c>
      <c r="V65" s="2" t="s">
        <v>101</v>
      </c>
      <c r="W65" s="2" t="s">
        <v>102</v>
      </c>
      <c r="X65" s="2" t="s">
        <v>98</v>
      </c>
      <c r="Y65" s="2" t="s">
        <v>315</v>
      </c>
      <c r="Z65" s="4">
        <v>55</v>
      </c>
      <c r="AA65" s="4">
        <f>=ROUNDDOWN(27.5,0)</f>
      </c>
      <c r="AB65" s="5">
        <v>2</v>
      </c>
      <c r="AC65" s="2" t="s">
        <v>202</v>
      </c>
      <c r="AD65" s="4">
        <v>72</v>
      </c>
      <c r="AE65" s="4">
        <v>72</v>
      </c>
      <c r="AF65" s="6">
        <v>64</v>
      </c>
      <c r="AG65" s="6"/>
      <c r="AH65" s="7">
        <v>0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/>
      <c r="BK65" s="8"/>
      <c r="BL65" s="2" t="s">
        <v>98</v>
      </c>
      <c r="BM65" s="7"/>
      <c r="BN65" s="7"/>
      <c r="BO65" s="4"/>
      <c r="BP65" s="8"/>
      <c r="BQ65" s="4"/>
      <c r="BR65" s="8"/>
      <c r="BS65" s="7"/>
      <c r="BT65" s="7"/>
      <c r="BU65" s="2" t="s">
        <v>316</v>
      </c>
      <c r="BV65" s="2" t="s">
        <v>95</v>
      </c>
      <c r="BW65" s="2" t="s">
        <v>98</v>
      </c>
      <c r="BX65" s="2" t="s">
        <v>98</v>
      </c>
      <c r="BY65" s="2" t="s">
        <v>111</v>
      </c>
    </row>
    <row r="66">
      <c r="A66" s="2" t="s">
        <v>322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89</v>
      </c>
      <c r="G66" s="2" t="s">
        <v>90</v>
      </c>
      <c r="H66" s="2" t="s">
        <v>91</v>
      </c>
      <c r="I66" s="2" t="s">
        <v>92</v>
      </c>
      <c r="J66" s="2" t="s">
        <v>93</v>
      </c>
      <c r="K66" s="2" t="s">
        <v>323</v>
      </c>
      <c r="L66" s="3">
        <v>16</v>
      </c>
      <c r="M66" s="3">
        <v>16.8</v>
      </c>
      <c r="N66" s="3">
        <v>39.99</v>
      </c>
      <c r="O66" s="2" t="s">
        <v>95</v>
      </c>
      <c r="P66" s="2" t="s">
        <v>313</v>
      </c>
      <c r="Q66" s="2" t="s">
        <v>97</v>
      </c>
      <c r="R66" s="2" t="s">
        <v>98</v>
      </c>
      <c r="S66" s="2" t="s">
        <v>324</v>
      </c>
      <c r="T66" s="2" t="s">
        <v>98</v>
      </c>
      <c r="U66" s="2" t="s">
        <v>100</v>
      </c>
      <c r="V66" s="2" t="s">
        <v>101</v>
      </c>
      <c r="W66" s="2" t="s">
        <v>102</v>
      </c>
      <c r="X66" s="2" t="s">
        <v>98</v>
      </c>
      <c r="Y66" s="2" t="s">
        <v>315</v>
      </c>
      <c r="Z66" s="4">
        <v>97</v>
      </c>
      <c r="AA66" s="4">
        <f>=ROUNDDOWN({0},0)</f>
      </c>
      <c r="AB66" s="5"/>
      <c r="AC66" s="2" t="s">
        <v>202</v>
      </c>
      <c r="AD66" s="4">
        <v>140</v>
      </c>
      <c r="AE66" s="4">
        <v>140</v>
      </c>
      <c r="AF66" s="6">
        <v>64</v>
      </c>
      <c r="AG66" s="6"/>
      <c r="AH66" s="7">
        <v>0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/>
      <c r="BK66" s="8"/>
      <c r="BL66" s="2" t="s">
        <v>98</v>
      </c>
      <c r="BM66" s="7"/>
      <c r="BN66" s="7"/>
      <c r="BO66" s="4"/>
      <c r="BP66" s="8"/>
      <c r="BQ66" s="4"/>
      <c r="BR66" s="8"/>
      <c r="BS66" s="7"/>
      <c r="BT66" s="7"/>
      <c r="BU66" s="2" t="s">
        <v>316</v>
      </c>
      <c r="BV66" s="2" t="s">
        <v>95</v>
      </c>
      <c r="BW66" s="2" t="s">
        <v>98</v>
      </c>
      <c r="BX66" s="2" t="s">
        <v>98</v>
      </c>
      <c r="BY66" s="2" t="s">
        <v>111</v>
      </c>
    </row>
    <row r="67">
      <c r="A67" s="2" t="s">
        <v>325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89</v>
      </c>
      <c r="G67" s="2" t="s">
        <v>90</v>
      </c>
      <c r="H67" s="2" t="s">
        <v>91</v>
      </c>
      <c r="I67" s="2" t="s">
        <v>92</v>
      </c>
      <c r="J67" s="2" t="s">
        <v>113</v>
      </c>
      <c r="K67" s="2" t="s">
        <v>323</v>
      </c>
      <c r="L67" s="3">
        <v>17.1</v>
      </c>
      <c r="M67" s="3">
        <v>17.96</v>
      </c>
      <c r="N67" s="3">
        <v>44.99</v>
      </c>
      <c r="O67" s="2" t="s">
        <v>95</v>
      </c>
      <c r="P67" s="2" t="s">
        <v>313</v>
      </c>
      <c r="Q67" s="2" t="s">
        <v>97</v>
      </c>
      <c r="R67" s="2" t="s">
        <v>98</v>
      </c>
      <c r="S67" s="2" t="s">
        <v>324</v>
      </c>
      <c r="T67" s="2" t="s">
        <v>98</v>
      </c>
      <c r="U67" s="2" t="s">
        <v>100</v>
      </c>
      <c r="V67" s="2" t="s">
        <v>101</v>
      </c>
      <c r="W67" s="2" t="s">
        <v>102</v>
      </c>
      <c r="X67" s="2" t="s">
        <v>98</v>
      </c>
      <c r="Y67" s="2" t="s">
        <v>315</v>
      </c>
      <c r="Z67" s="4">
        <v>57</v>
      </c>
      <c r="AA67" s="4">
        <f>=ROUNDDOWN({0},0)</f>
      </c>
      <c r="AB67" s="5"/>
      <c r="AC67" s="2" t="s">
        <v>202</v>
      </c>
      <c r="AD67" s="4">
        <v>80</v>
      </c>
      <c r="AE67" s="4">
        <v>80</v>
      </c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/>
      <c r="BK67" s="8"/>
      <c r="BL67" s="2" t="s">
        <v>98</v>
      </c>
      <c r="BM67" s="7"/>
      <c r="BN67" s="7"/>
      <c r="BO67" s="4"/>
      <c r="BP67" s="8"/>
      <c r="BQ67" s="4"/>
      <c r="BR67" s="8"/>
      <c r="BS67" s="7"/>
      <c r="BT67" s="7"/>
      <c r="BU67" s="2" t="s">
        <v>316</v>
      </c>
      <c r="BV67" s="2" t="s">
        <v>95</v>
      </c>
      <c r="BW67" s="2" t="s">
        <v>98</v>
      </c>
      <c r="BX67" s="2" t="s">
        <v>98</v>
      </c>
      <c r="BY67" s="2" t="s">
        <v>111</v>
      </c>
    </row>
    <row r="68">
      <c r="A68" s="2" t="s">
        <v>326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327</v>
      </c>
      <c r="G68" s="2" t="s">
        <v>328</v>
      </c>
      <c r="H68" s="2" t="s">
        <v>329</v>
      </c>
      <c r="I68" s="2" t="s">
        <v>330</v>
      </c>
      <c r="J68" s="2" t="s">
        <v>331</v>
      </c>
      <c r="K68" s="2" t="s">
        <v>332</v>
      </c>
      <c r="L68" s="3">
        <v>13.5</v>
      </c>
      <c r="M68" s="3">
        <v>14.18</v>
      </c>
      <c r="N68" s="3">
        <v>29.99</v>
      </c>
      <c r="O68" s="2" t="s">
        <v>241</v>
      </c>
      <c r="P68" s="2" t="s">
        <v>215</v>
      </c>
      <c r="Q68" s="2" t="s">
        <v>97</v>
      </c>
      <c r="R68" s="2" t="s">
        <v>98</v>
      </c>
      <c r="S68" s="2" t="s">
        <v>333</v>
      </c>
      <c r="T68" s="2" t="s">
        <v>98</v>
      </c>
      <c r="U68" s="2" t="s">
        <v>100</v>
      </c>
      <c r="V68" s="2" t="s">
        <v>334</v>
      </c>
      <c r="W68" s="2" t="s">
        <v>335</v>
      </c>
      <c r="X68" s="2" t="s">
        <v>98</v>
      </c>
      <c r="Y68" s="2" t="s">
        <v>104</v>
      </c>
      <c r="Z68" s="4">
        <v>331</v>
      </c>
      <c r="AA68" s="4">
        <f>=ROUNDDOWN(132.4,0)</f>
      </c>
      <c r="AB68" s="5">
        <v>2.5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6</v>
      </c>
      <c r="AQ68" s="8">
        <v>90</v>
      </c>
      <c r="AR68" s="4">
        <v>56</v>
      </c>
      <c r="AS68" s="8">
        <v>666.96</v>
      </c>
      <c r="AT68" s="7">
        <v>-0.8929</v>
      </c>
      <c r="AU68" s="7">
        <v>-0.8651</v>
      </c>
      <c r="AV68" s="4">
        <v>40</v>
      </c>
      <c r="AW68" s="8">
        <v>695</v>
      </c>
      <c r="AX68" s="4">
        <v>215</v>
      </c>
      <c r="AY68" s="8">
        <v>3070.93</v>
      </c>
      <c r="AZ68" s="7">
        <v>-0.814</v>
      </c>
      <c r="BA68" s="7">
        <v>-0.7737</v>
      </c>
      <c r="BB68" s="7">
        <v>0.1295</v>
      </c>
      <c r="BC68" s="4">
        <v>314</v>
      </c>
      <c r="BD68" s="8">
        <v>5642</v>
      </c>
      <c r="BE68" s="4">
        <v>1032</v>
      </c>
      <c r="BF68" s="8">
        <v>16168.18</v>
      </c>
      <c r="BG68" s="7">
        <v>-0.6957</v>
      </c>
      <c r="BH68" s="7">
        <v>-0.651</v>
      </c>
      <c r="BI68" s="7">
        <v>0.1232</v>
      </c>
      <c r="BJ68" s="4">
        <v>88</v>
      </c>
      <c r="BK68" s="8">
        <v>1178.05</v>
      </c>
      <c r="BL68" s="2" t="s">
        <v>336</v>
      </c>
      <c r="BM68" s="7">
        <v>0.0682</v>
      </c>
      <c r="BN68" s="7">
        <v>0.0764</v>
      </c>
      <c r="BO68" s="4">
        <v>6</v>
      </c>
      <c r="BP68" s="8">
        <v>90</v>
      </c>
      <c r="BQ68" s="4">
        <v>56</v>
      </c>
      <c r="BR68" s="8">
        <v>666.96</v>
      </c>
      <c r="BS68" s="7">
        <v>-0.8929</v>
      </c>
      <c r="BT68" s="7">
        <v>-0.8651</v>
      </c>
      <c r="BU68" s="2" t="s">
        <v>211</v>
      </c>
      <c r="BV68" s="2" t="s">
        <v>95</v>
      </c>
      <c r="BW68" s="2" t="s">
        <v>244</v>
      </c>
      <c r="BX68" s="2" t="s">
        <v>337</v>
      </c>
      <c r="BY68" s="2" t="s">
        <v>111</v>
      </c>
    </row>
    <row r="69">
      <c r="A69" s="2" t="s">
        <v>338</v>
      </c>
      <c r="B69" s="2" t="s">
        <v>86</v>
      </c>
      <c r="C69" s="2" t="s">
        <v>87</v>
      </c>
      <c r="D69" s="2" t="s">
        <v>88</v>
      </c>
      <c r="E69" s="2" t="s">
        <v>88</v>
      </c>
      <c r="F69" s="2" t="s">
        <v>327</v>
      </c>
      <c r="G69" s="2" t="s">
        <v>328</v>
      </c>
      <c r="H69" s="2" t="s">
        <v>329</v>
      </c>
      <c r="I69" s="2" t="s">
        <v>330</v>
      </c>
      <c r="J69" s="2" t="s">
        <v>93</v>
      </c>
      <c r="K69" s="2" t="s">
        <v>332</v>
      </c>
      <c r="L69" s="3">
        <v>15.75</v>
      </c>
      <c r="M69" s="3">
        <v>16.54</v>
      </c>
      <c r="N69" s="3">
        <v>34.99</v>
      </c>
      <c r="O69" s="2" t="s">
        <v>95</v>
      </c>
      <c r="P69" s="2" t="s">
        <v>215</v>
      </c>
      <c r="Q69" s="2" t="s">
        <v>97</v>
      </c>
      <c r="R69" s="2" t="s">
        <v>98</v>
      </c>
      <c r="S69" s="2" t="s">
        <v>333</v>
      </c>
      <c r="T69" s="2" t="s">
        <v>98</v>
      </c>
      <c r="U69" s="2" t="s">
        <v>100</v>
      </c>
      <c r="V69" s="2" t="s">
        <v>334</v>
      </c>
      <c r="W69" s="2" t="s">
        <v>335</v>
      </c>
      <c r="X69" s="2" t="s">
        <v>98</v>
      </c>
      <c r="Y69" s="2" t="s">
        <v>104</v>
      </c>
      <c r="Z69" s="4">
        <v>96</v>
      </c>
      <c r="AA69" s="4">
        <f>=ROUNDDOWN(8,0)</f>
      </c>
      <c r="AB69" s="5">
        <v>12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>
        <v>0.5</v>
      </c>
      <c r="AL69" s="2" t="s">
        <v>98</v>
      </c>
      <c r="AM69" s="4"/>
      <c r="AN69" s="4"/>
      <c r="AO69" s="7">
        <v>0.8556</v>
      </c>
      <c r="AP69" s="4">
        <v>30</v>
      </c>
      <c r="AQ69" s="8">
        <v>525</v>
      </c>
      <c r="AR69" s="4">
        <v>107</v>
      </c>
      <c r="AS69" s="8">
        <v>1539.73</v>
      </c>
      <c r="AT69" s="7">
        <v>-0.7196</v>
      </c>
      <c r="AU69" s="7">
        <v>-0.659</v>
      </c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0.7554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129</v>
      </c>
      <c r="BK69" s="8">
        <v>2093.76</v>
      </c>
      <c r="BL69" s="2" t="s">
        <v>339</v>
      </c>
      <c r="BM69" s="7">
        <v>0.2326</v>
      </c>
      <c r="BN69" s="7">
        <v>0.2507</v>
      </c>
      <c r="BO69" s="4">
        <v>30</v>
      </c>
      <c r="BP69" s="8">
        <v>525</v>
      </c>
      <c r="BQ69" s="4">
        <v>107</v>
      </c>
      <c r="BR69" s="8">
        <v>1539.73</v>
      </c>
      <c r="BS69" s="7">
        <v>-0.7196</v>
      </c>
      <c r="BT69" s="7">
        <v>-0.659</v>
      </c>
      <c r="BU69" s="2" t="s">
        <v>211</v>
      </c>
      <c r="BV69" s="2" t="s">
        <v>95</v>
      </c>
      <c r="BW69" s="2" t="s">
        <v>244</v>
      </c>
      <c r="BX69" s="2" t="s">
        <v>340</v>
      </c>
      <c r="BY69" s="2" t="s">
        <v>111</v>
      </c>
    </row>
    <row r="70">
      <c r="A70" s="2" t="s">
        <v>341</v>
      </c>
      <c r="B70" s="2" t="s">
        <v>86</v>
      </c>
      <c r="C70" s="2" t="s">
        <v>87</v>
      </c>
      <c r="D70" s="2" t="s">
        <v>88</v>
      </c>
      <c r="E70" s="2" t="s">
        <v>88</v>
      </c>
      <c r="F70" s="2" t="s">
        <v>327</v>
      </c>
      <c r="G70" s="2" t="s">
        <v>328</v>
      </c>
      <c r="H70" s="2" t="s">
        <v>329</v>
      </c>
      <c r="I70" s="2" t="s">
        <v>330</v>
      </c>
      <c r="J70" s="2" t="s">
        <v>113</v>
      </c>
      <c r="K70" s="2" t="s">
        <v>332</v>
      </c>
      <c r="L70" s="3">
        <v>18.4</v>
      </c>
      <c r="M70" s="3">
        <v>19.32</v>
      </c>
      <c r="N70" s="3">
        <v>39.99</v>
      </c>
      <c r="O70" s="2" t="s">
        <v>95</v>
      </c>
      <c r="P70" s="2" t="s">
        <v>215</v>
      </c>
      <c r="Q70" s="2" t="s">
        <v>97</v>
      </c>
      <c r="R70" s="2" t="s">
        <v>98</v>
      </c>
      <c r="S70" s="2" t="s">
        <v>333</v>
      </c>
      <c r="T70" s="2" t="s">
        <v>98</v>
      </c>
      <c r="U70" s="2" t="s">
        <v>100</v>
      </c>
      <c r="V70" s="2" t="s">
        <v>334</v>
      </c>
      <c r="W70" s="2" t="s">
        <v>335</v>
      </c>
      <c r="X70" s="2" t="s">
        <v>98</v>
      </c>
      <c r="Y70" s="2" t="s">
        <v>104</v>
      </c>
      <c r="Z70" s="4">
        <v>165</v>
      </c>
      <c r="AA70" s="4">
        <f>=ROUNDDOWN(22,0)</f>
      </c>
      <c r="AB70" s="5">
        <v>7.5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4</v>
      </c>
      <c r="AQ70" s="8">
        <v>80</v>
      </c>
      <c r="AR70" s="4">
        <v>52</v>
      </c>
      <c r="AS70" s="8">
        <v>864.24</v>
      </c>
      <c r="AT70" s="7">
        <v>-0.9231</v>
      </c>
      <c r="AU70" s="7">
        <v>-0.9074</v>
      </c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0.1151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34</v>
      </c>
      <c r="BK70" s="8">
        <v>648.48</v>
      </c>
      <c r="BL70" s="2" t="s">
        <v>342</v>
      </c>
      <c r="BM70" s="7">
        <v>0.1176</v>
      </c>
      <c r="BN70" s="7">
        <v>0.1234</v>
      </c>
      <c r="BO70" s="4">
        <v>4</v>
      </c>
      <c r="BP70" s="8">
        <v>80</v>
      </c>
      <c r="BQ70" s="4">
        <v>52</v>
      </c>
      <c r="BR70" s="8">
        <v>864.24</v>
      </c>
      <c r="BS70" s="7">
        <v>-0.9231</v>
      </c>
      <c r="BT70" s="7">
        <v>-0.9074</v>
      </c>
      <c r="BU70" s="2" t="s">
        <v>211</v>
      </c>
      <c r="BV70" s="2" t="s">
        <v>95</v>
      </c>
      <c r="BW70" s="2" t="s">
        <v>244</v>
      </c>
      <c r="BX70" s="2" t="s">
        <v>337</v>
      </c>
      <c r="BY70" s="2" t="s">
        <v>111</v>
      </c>
    </row>
    <row r="71">
      <c r="A71" s="2" t="s">
        <v>343</v>
      </c>
      <c r="B71" s="2" t="s">
        <v>86</v>
      </c>
      <c r="C71" s="2" t="s">
        <v>87</v>
      </c>
      <c r="D71" s="2" t="s">
        <v>88</v>
      </c>
      <c r="E71" s="2" t="s">
        <v>88</v>
      </c>
      <c r="F71" s="2" t="s">
        <v>327</v>
      </c>
      <c r="G71" s="2" t="s">
        <v>328</v>
      </c>
      <c r="H71" s="2" t="s">
        <v>329</v>
      </c>
      <c r="I71" s="2" t="s">
        <v>330</v>
      </c>
      <c r="J71" s="2" t="s">
        <v>118</v>
      </c>
      <c r="K71" s="2" t="s">
        <v>332</v>
      </c>
      <c r="L71" s="3">
        <v>20.7</v>
      </c>
      <c r="M71" s="3">
        <v>21.74</v>
      </c>
      <c r="N71" s="3">
        <v>44.99</v>
      </c>
      <c r="O71" s="2" t="s">
        <v>95</v>
      </c>
      <c r="P71" s="2" t="s">
        <v>215</v>
      </c>
      <c r="Q71" s="2" t="s">
        <v>97</v>
      </c>
      <c r="R71" s="2" t="s">
        <v>98</v>
      </c>
      <c r="S71" s="2" t="s">
        <v>333</v>
      </c>
      <c r="T71" s="2" t="s">
        <v>98</v>
      </c>
      <c r="U71" s="2" t="s">
        <v>100</v>
      </c>
      <c r="V71" s="2" t="s">
        <v>334</v>
      </c>
      <c r="W71" s="2" t="s">
        <v>335</v>
      </c>
      <c r="X71" s="2" t="s">
        <v>98</v>
      </c>
      <c r="Y71" s="2" t="s">
        <v>104</v>
      </c>
      <c r="Z71" s="4"/>
      <c r="AA71" s="4">
        <f>=ROUNDDOWN({0},0)</f>
      </c>
      <c r="AB71" s="5">
        <v>4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31</v>
      </c>
      <c r="BK71" s="8">
        <v>637.52</v>
      </c>
      <c r="BL71" s="2" t="s">
        <v>344</v>
      </c>
      <c r="BM71" s="7"/>
      <c r="BN71" s="7"/>
      <c r="BO71" s="4"/>
      <c r="BP71" s="8"/>
      <c r="BQ71" s="4"/>
      <c r="BR71" s="8"/>
      <c r="BS71" s="7"/>
      <c r="BT71" s="7"/>
      <c r="BU71" s="2" t="s">
        <v>211</v>
      </c>
      <c r="BV71" s="2" t="s">
        <v>95</v>
      </c>
      <c r="BW71" s="2" t="s">
        <v>244</v>
      </c>
      <c r="BX71" s="2" t="s">
        <v>345</v>
      </c>
      <c r="BY71" s="2" t="s">
        <v>111</v>
      </c>
    </row>
    <row r="72">
      <c r="A72" s="2" t="s">
        <v>346</v>
      </c>
      <c r="B72" s="2" t="s">
        <v>86</v>
      </c>
      <c r="C72" s="2" t="s">
        <v>87</v>
      </c>
      <c r="D72" s="2" t="s">
        <v>88</v>
      </c>
      <c r="E72" s="2" t="s">
        <v>88</v>
      </c>
      <c r="F72" s="2" t="s">
        <v>327</v>
      </c>
      <c r="G72" s="2" t="s">
        <v>328</v>
      </c>
      <c r="H72" s="2" t="s">
        <v>329</v>
      </c>
      <c r="I72" s="2" t="s">
        <v>347</v>
      </c>
      <c r="J72" s="2" t="s">
        <v>348</v>
      </c>
      <c r="K72" s="2" t="s">
        <v>349</v>
      </c>
      <c r="L72" s="3">
        <v>27</v>
      </c>
      <c r="M72" s="3">
        <v>28.35</v>
      </c>
      <c r="N72" s="3">
        <v>59.99</v>
      </c>
      <c r="O72" s="2" t="s">
        <v>241</v>
      </c>
      <c r="P72" s="2" t="s">
        <v>215</v>
      </c>
      <c r="Q72" s="2" t="s">
        <v>97</v>
      </c>
      <c r="R72" s="2" t="s">
        <v>98</v>
      </c>
      <c r="S72" s="2" t="s">
        <v>350</v>
      </c>
      <c r="T72" s="2" t="s">
        <v>98</v>
      </c>
      <c r="U72" s="2" t="s">
        <v>100</v>
      </c>
      <c r="V72" s="2" t="s">
        <v>334</v>
      </c>
      <c r="W72" s="2" t="s">
        <v>335</v>
      </c>
      <c r="X72" s="2" t="s">
        <v>98</v>
      </c>
      <c r="Y72" s="2" t="s">
        <v>104</v>
      </c>
      <c r="Z72" s="4">
        <v>1</v>
      </c>
      <c r="AA72" s="4">
        <f>=ROUNDDOWN(0.25,0)</f>
      </c>
      <c r="AB72" s="5">
        <v>4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12</v>
      </c>
      <c r="AQ72" s="8">
        <v>234</v>
      </c>
      <c r="AR72" s="4">
        <v>5</v>
      </c>
      <c r="AS72" s="8">
        <v>124</v>
      </c>
      <c r="AT72" s="7">
        <v>1.4</v>
      </c>
      <c r="AU72" s="7">
        <v>0.8871</v>
      </c>
      <c r="AV72" s="4">
        <v>30</v>
      </c>
      <c r="AW72" s="8">
        <v>554</v>
      </c>
      <c r="AX72" s="4">
        <v>134</v>
      </c>
      <c r="AY72" s="8">
        <v>2074.99</v>
      </c>
      <c r="AZ72" s="7">
        <v>-0.7761</v>
      </c>
      <c r="BA72" s="7">
        <v>-0.733</v>
      </c>
      <c r="BB72" s="7">
        <v>0.4224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0.0982</v>
      </c>
      <c r="BJ72" s="4">
        <v>26</v>
      </c>
      <c r="BK72" s="8">
        <v>604.71</v>
      </c>
      <c r="BL72" s="2" t="s">
        <v>351</v>
      </c>
      <c r="BM72" s="7">
        <v>0.4615</v>
      </c>
      <c r="BN72" s="7">
        <v>0.387</v>
      </c>
      <c r="BO72" s="4">
        <v>12</v>
      </c>
      <c r="BP72" s="8">
        <v>234</v>
      </c>
      <c r="BQ72" s="4">
        <v>5</v>
      </c>
      <c r="BR72" s="8">
        <v>124</v>
      </c>
      <c r="BS72" s="7">
        <v>1.4</v>
      </c>
      <c r="BT72" s="7">
        <v>0.8871</v>
      </c>
      <c r="BU72" s="2" t="s">
        <v>211</v>
      </c>
      <c r="BV72" s="2" t="s">
        <v>352</v>
      </c>
      <c r="BW72" s="2" t="s">
        <v>244</v>
      </c>
      <c r="BX72" s="2" t="s">
        <v>353</v>
      </c>
      <c r="BY72" s="2" t="s">
        <v>354</v>
      </c>
    </row>
    <row r="73">
      <c r="A73" s="2" t="s">
        <v>355</v>
      </c>
      <c r="B73" s="2" t="s">
        <v>86</v>
      </c>
      <c r="C73" s="2" t="s">
        <v>87</v>
      </c>
      <c r="D73" s="2" t="s">
        <v>88</v>
      </c>
      <c r="E73" s="2" t="s">
        <v>88</v>
      </c>
      <c r="F73" s="2" t="s">
        <v>327</v>
      </c>
      <c r="G73" s="2" t="s">
        <v>328</v>
      </c>
      <c r="H73" s="2" t="s">
        <v>329</v>
      </c>
      <c r="I73" s="2" t="s">
        <v>330</v>
      </c>
      <c r="J73" s="2" t="s">
        <v>331</v>
      </c>
      <c r="K73" s="2" t="s">
        <v>349</v>
      </c>
      <c r="L73" s="3">
        <v>13.5</v>
      </c>
      <c r="M73" s="3">
        <v>14.18</v>
      </c>
      <c r="N73" s="3">
        <v>29.99</v>
      </c>
      <c r="O73" s="2" t="s">
        <v>95</v>
      </c>
      <c r="P73" s="2" t="s">
        <v>215</v>
      </c>
      <c r="Q73" s="2" t="s">
        <v>97</v>
      </c>
      <c r="R73" s="2" t="s">
        <v>98</v>
      </c>
      <c r="S73" s="2" t="s">
        <v>350</v>
      </c>
      <c r="T73" s="2" t="s">
        <v>98</v>
      </c>
      <c r="U73" s="2" t="s">
        <v>100</v>
      </c>
      <c r="V73" s="2" t="s">
        <v>334</v>
      </c>
      <c r="W73" s="2" t="s">
        <v>335</v>
      </c>
      <c r="X73" s="2" t="s">
        <v>98</v>
      </c>
      <c r="Y73" s="2" t="s">
        <v>104</v>
      </c>
      <c r="Z73" s="4">
        <v>75</v>
      </c>
      <c r="AA73" s="4">
        <f>=ROUNDDOWN(12.5,0)</f>
      </c>
      <c r="AB73" s="5">
        <v>6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30</v>
      </c>
      <c r="AR73" s="4">
        <v>23</v>
      </c>
      <c r="AS73" s="8">
        <v>273.93</v>
      </c>
      <c r="AT73" s="7">
        <v>-0.913</v>
      </c>
      <c r="AU73" s="7">
        <v>-0.8905</v>
      </c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0.0542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91</v>
      </c>
      <c r="BK73" s="8">
        <v>1168.7</v>
      </c>
      <c r="BL73" s="2" t="s">
        <v>356</v>
      </c>
      <c r="BM73" s="7">
        <v>0.022</v>
      </c>
      <c r="BN73" s="7">
        <v>0.0257</v>
      </c>
      <c r="BO73" s="4">
        <v>2</v>
      </c>
      <c r="BP73" s="8">
        <v>30</v>
      </c>
      <c r="BQ73" s="4">
        <v>23</v>
      </c>
      <c r="BR73" s="8">
        <v>273.93</v>
      </c>
      <c r="BS73" s="7">
        <v>-0.913</v>
      </c>
      <c r="BT73" s="7">
        <v>-0.8905</v>
      </c>
      <c r="BU73" s="2" t="s">
        <v>211</v>
      </c>
      <c r="BV73" s="2" t="s">
        <v>95</v>
      </c>
      <c r="BW73" s="2" t="s">
        <v>244</v>
      </c>
      <c r="BX73" s="2" t="s">
        <v>357</v>
      </c>
      <c r="BY73" s="2" t="s">
        <v>111</v>
      </c>
    </row>
    <row r="74">
      <c r="A74" s="2" t="s">
        <v>358</v>
      </c>
      <c r="B74" s="2" t="s">
        <v>86</v>
      </c>
      <c r="C74" s="2" t="s">
        <v>87</v>
      </c>
      <c r="D74" s="2" t="s">
        <v>88</v>
      </c>
      <c r="E74" s="2" t="s">
        <v>88</v>
      </c>
      <c r="F74" s="2" t="s">
        <v>327</v>
      </c>
      <c r="G74" s="2" t="s">
        <v>328</v>
      </c>
      <c r="H74" s="2" t="s">
        <v>329</v>
      </c>
      <c r="I74" s="2" t="s">
        <v>330</v>
      </c>
      <c r="J74" s="2" t="s">
        <v>93</v>
      </c>
      <c r="K74" s="2" t="s">
        <v>349</v>
      </c>
      <c r="L74" s="3">
        <v>15.75</v>
      </c>
      <c r="M74" s="3">
        <v>16.54</v>
      </c>
      <c r="N74" s="3">
        <v>34.99</v>
      </c>
      <c r="O74" s="2" t="s">
        <v>95</v>
      </c>
      <c r="P74" s="2" t="s">
        <v>215</v>
      </c>
      <c r="Q74" s="2" t="s">
        <v>97</v>
      </c>
      <c r="R74" s="2" t="s">
        <v>98</v>
      </c>
      <c r="S74" s="2" t="s">
        <v>350</v>
      </c>
      <c r="T74" s="2" t="s">
        <v>98</v>
      </c>
      <c r="U74" s="2" t="s">
        <v>100</v>
      </c>
      <c r="V74" s="2" t="s">
        <v>334</v>
      </c>
      <c r="W74" s="2" t="s">
        <v>335</v>
      </c>
      <c r="X74" s="2" t="s">
        <v>98</v>
      </c>
      <c r="Y74" s="2" t="s">
        <v>104</v>
      </c>
      <c r="Z74" s="4">
        <v>125</v>
      </c>
      <c r="AA74" s="4">
        <f>=ROUNDDOWN(8.92857142857143,0)</f>
      </c>
      <c r="AB74" s="5">
        <v>14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>
        <v>1.4</v>
      </c>
      <c r="AL74" s="2" t="s">
        <v>98</v>
      </c>
      <c r="AM74" s="4"/>
      <c r="AN74" s="4"/>
      <c r="AO74" s="7">
        <v>0.5556</v>
      </c>
      <c r="AP74" s="4">
        <v>14</v>
      </c>
      <c r="AQ74" s="8">
        <v>245</v>
      </c>
      <c r="AR74" s="4">
        <v>46</v>
      </c>
      <c r="AS74" s="8">
        <v>661.94</v>
      </c>
      <c r="AT74" s="7">
        <v>-0.6957</v>
      </c>
      <c r="AU74" s="7">
        <v>-0.6299</v>
      </c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0.4422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191</v>
      </c>
      <c r="BK74" s="8">
        <v>3037.04</v>
      </c>
      <c r="BL74" s="2" t="s">
        <v>359</v>
      </c>
      <c r="BM74" s="7">
        <v>0.0733</v>
      </c>
      <c r="BN74" s="7">
        <v>0.0807</v>
      </c>
      <c r="BO74" s="4">
        <v>14</v>
      </c>
      <c r="BP74" s="8">
        <v>245</v>
      </c>
      <c r="BQ74" s="4">
        <v>46</v>
      </c>
      <c r="BR74" s="8">
        <v>661.94</v>
      </c>
      <c r="BS74" s="7">
        <v>-0.6957</v>
      </c>
      <c r="BT74" s="7">
        <v>-0.6299</v>
      </c>
      <c r="BU74" s="2" t="s">
        <v>211</v>
      </c>
      <c r="BV74" s="2" t="s">
        <v>95</v>
      </c>
      <c r="BW74" s="2" t="s">
        <v>244</v>
      </c>
      <c r="BX74" s="2" t="s">
        <v>360</v>
      </c>
      <c r="BY74" s="2" t="s">
        <v>111</v>
      </c>
    </row>
    <row r="75">
      <c r="A75" s="2" t="s">
        <v>361</v>
      </c>
      <c r="B75" s="2" t="s">
        <v>86</v>
      </c>
      <c r="C75" s="2" t="s">
        <v>87</v>
      </c>
      <c r="D75" s="2" t="s">
        <v>88</v>
      </c>
      <c r="E75" s="2" t="s">
        <v>88</v>
      </c>
      <c r="F75" s="2" t="s">
        <v>327</v>
      </c>
      <c r="G75" s="2" t="s">
        <v>328</v>
      </c>
      <c r="H75" s="2" t="s">
        <v>329</v>
      </c>
      <c r="I75" s="2" t="s">
        <v>330</v>
      </c>
      <c r="J75" s="2" t="s">
        <v>113</v>
      </c>
      <c r="K75" s="2" t="s">
        <v>349</v>
      </c>
      <c r="L75" s="3">
        <v>18.4</v>
      </c>
      <c r="M75" s="3">
        <v>19.32</v>
      </c>
      <c r="N75" s="3">
        <v>39.99</v>
      </c>
      <c r="O75" s="2" t="s">
        <v>95</v>
      </c>
      <c r="P75" s="2" t="s">
        <v>215</v>
      </c>
      <c r="Q75" s="2" t="s">
        <v>97</v>
      </c>
      <c r="R75" s="2" t="s">
        <v>98</v>
      </c>
      <c r="S75" s="2" t="s">
        <v>350</v>
      </c>
      <c r="T75" s="2" t="s">
        <v>98</v>
      </c>
      <c r="U75" s="2" t="s">
        <v>100</v>
      </c>
      <c r="V75" s="2" t="s">
        <v>334</v>
      </c>
      <c r="W75" s="2" t="s">
        <v>335</v>
      </c>
      <c r="X75" s="2" t="s">
        <v>98</v>
      </c>
      <c r="Y75" s="2" t="s">
        <v>104</v>
      </c>
      <c r="Z75" s="4">
        <v>3</v>
      </c>
      <c r="AA75" s="4">
        <f>=ROUNDDOWN(0.6,0)</f>
      </c>
      <c r="AB75" s="5">
        <v>5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>
        <v>52</v>
      </c>
      <c r="AS75" s="8">
        <v>864.24</v>
      </c>
      <c r="AT75" s="7">
        <v>-1</v>
      </c>
      <c r="AU75" s="7">
        <v>-1</v>
      </c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51</v>
      </c>
      <c r="BK75" s="8">
        <v>932.42</v>
      </c>
      <c r="BL75" s="2" t="s">
        <v>362</v>
      </c>
      <c r="BM75" s="7"/>
      <c r="BN75" s="7"/>
      <c r="BO75" s="4"/>
      <c r="BP75" s="8"/>
      <c r="BQ75" s="4">
        <v>52</v>
      </c>
      <c r="BR75" s="8">
        <v>864.24</v>
      </c>
      <c r="BS75" s="7">
        <v>-1</v>
      </c>
      <c r="BT75" s="7">
        <v>-1</v>
      </c>
      <c r="BU75" s="2" t="s">
        <v>211</v>
      </c>
      <c r="BV75" s="2" t="s">
        <v>95</v>
      </c>
      <c r="BW75" s="2" t="s">
        <v>244</v>
      </c>
      <c r="BX75" s="2" t="s">
        <v>363</v>
      </c>
      <c r="BY75" s="2" t="s">
        <v>111</v>
      </c>
    </row>
    <row r="76">
      <c r="A76" s="2" t="s">
        <v>364</v>
      </c>
      <c r="B76" s="2" t="s">
        <v>86</v>
      </c>
      <c r="C76" s="2" t="s">
        <v>87</v>
      </c>
      <c r="D76" s="2" t="s">
        <v>88</v>
      </c>
      <c r="E76" s="2" t="s">
        <v>88</v>
      </c>
      <c r="F76" s="2" t="s">
        <v>327</v>
      </c>
      <c r="G76" s="2" t="s">
        <v>328</v>
      </c>
      <c r="H76" s="2" t="s">
        <v>329</v>
      </c>
      <c r="I76" s="2" t="s">
        <v>330</v>
      </c>
      <c r="J76" s="2" t="s">
        <v>118</v>
      </c>
      <c r="K76" s="2" t="s">
        <v>349</v>
      </c>
      <c r="L76" s="3">
        <v>20.7</v>
      </c>
      <c r="M76" s="3">
        <v>21.74</v>
      </c>
      <c r="N76" s="3">
        <v>44.99</v>
      </c>
      <c r="O76" s="2" t="s">
        <v>241</v>
      </c>
      <c r="P76" s="2" t="s">
        <v>215</v>
      </c>
      <c r="Q76" s="2" t="s">
        <v>97</v>
      </c>
      <c r="R76" s="2" t="s">
        <v>98</v>
      </c>
      <c r="S76" s="2" t="s">
        <v>350</v>
      </c>
      <c r="T76" s="2" t="s">
        <v>98</v>
      </c>
      <c r="U76" s="2" t="s">
        <v>100</v>
      </c>
      <c r="V76" s="2" t="s">
        <v>334</v>
      </c>
      <c r="W76" s="2" t="s">
        <v>335</v>
      </c>
      <c r="X76" s="2" t="s">
        <v>98</v>
      </c>
      <c r="Y76" s="2" t="s">
        <v>104</v>
      </c>
      <c r="Z76" s="4">
        <v>93</v>
      </c>
      <c r="AA76" s="4">
        <f>=ROUNDDOWN(20.6666666666667,0)</f>
      </c>
      <c r="AB76" s="5">
        <v>4.5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45</v>
      </c>
      <c r="AR76" s="4">
        <v>8</v>
      </c>
      <c r="AS76" s="8">
        <v>150.88</v>
      </c>
      <c r="AT76" s="7">
        <v>-0.75</v>
      </c>
      <c r="AU76" s="7">
        <v>-0.7017</v>
      </c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0.0812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40</v>
      </c>
      <c r="BK76" s="8">
        <v>858.18</v>
      </c>
      <c r="BL76" s="2" t="s">
        <v>351</v>
      </c>
      <c r="BM76" s="7">
        <v>0.05</v>
      </c>
      <c r="BN76" s="7">
        <v>0.0524</v>
      </c>
      <c r="BO76" s="4">
        <v>2</v>
      </c>
      <c r="BP76" s="8">
        <v>45</v>
      </c>
      <c r="BQ76" s="4">
        <v>8</v>
      </c>
      <c r="BR76" s="8">
        <v>150.88</v>
      </c>
      <c r="BS76" s="7">
        <v>-0.75</v>
      </c>
      <c r="BT76" s="7">
        <v>-0.7017</v>
      </c>
      <c r="BU76" s="2" t="s">
        <v>211</v>
      </c>
      <c r="BV76" s="2" t="s">
        <v>95</v>
      </c>
      <c r="BW76" s="2" t="s">
        <v>244</v>
      </c>
      <c r="BX76" s="2" t="s">
        <v>365</v>
      </c>
      <c r="BY76" s="2" t="s">
        <v>111</v>
      </c>
    </row>
    <row r="77">
      <c r="A77" s="2" t="s">
        <v>366</v>
      </c>
      <c r="B77" s="2" t="s">
        <v>86</v>
      </c>
      <c r="C77" s="2" t="s">
        <v>87</v>
      </c>
      <c r="D77" s="2" t="s">
        <v>88</v>
      </c>
      <c r="E77" s="2" t="s">
        <v>88</v>
      </c>
      <c r="F77" s="2" t="s">
        <v>327</v>
      </c>
      <c r="G77" s="2" t="s">
        <v>328</v>
      </c>
      <c r="H77" s="2" t="s">
        <v>329</v>
      </c>
      <c r="I77" s="2" t="s">
        <v>347</v>
      </c>
      <c r="J77" s="2" t="s">
        <v>348</v>
      </c>
      <c r="K77" s="2" t="s">
        <v>367</v>
      </c>
      <c r="L77" s="3">
        <v>27</v>
      </c>
      <c r="M77" s="3">
        <v>28.35</v>
      </c>
      <c r="N77" s="3">
        <v>59.99</v>
      </c>
      <c r="O77" s="2" t="s">
        <v>368</v>
      </c>
      <c r="P77" s="2" t="s">
        <v>215</v>
      </c>
      <c r="Q77" s="2" t="s">
        <v>97</v>
      </c>
      <c r="R77" s="2" t="s">
        <v>98</v>
      </c>
      <c r="S77" s="2" t="s">
        <v>369</v>
      </c>
      <c r="T77" s="2" t="s">
        <v>98</v>
      </c>
      <c r="U77" s="2" t="s">
        <v>100</v>
      </c>
      <c r="V77" s="2" t="s">
        <v>334</v>
      </c>
      <c r="W77" s="2" t="s">
        <v>335</v>
      </c>
      <c r="X77" s="2" t="s">
        <v>98</v>
      </c>
      <c r="Y77" s="2" t="s">
        <v>104</v>
      </c>
      <c r="Z77" s="4">
        <v>6</v>
      </c>
      <c r="AA77" s="4">
        <f>=ROUNDDOWN({0},0)</f>
      </c>
      <c r="AB77" s="5"/>
      <c r="AC77" s="2" t="s">
        <v>98</v>
      </c>
      <c r="AD77" s="4"/>
      <c r="AE77" s="4"/>
      <c r="AF77" s="6">
        <v>65</v>
      </c>
      <c r="AG77" s="6"/>
      <c r="AH77" s="7">
        <v>0.5778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72</v>
      </c>
      <c r="AR77" s="4">
        <v>10</v>
      </c>
      <c r="AS77" s="8">
        <v>248</v>
      </c>
      <c r="AT77" s="7">
        <v>-0.7</v>
      </c>
      <c r="AU77" s="7">
        <v>-0.7097</v>
      </c>
      <c r="AV77" s="4">
        <v>28</v>
      </c>
      <c r="AW77" s="8">
        <v>514.5</v>
      </c>
      <c r="AX77" s="4">
        <v>116</v>
      </c>
      <c r="AY77" s="8">
        <v>1896.19</v>
      </c>
      <c r="AZ77" s="7">
        <v>-0.7586</v>
      </c>
      <c r="BA77" s="7">
        <v>-0.7287</v>
      </c>
      <c r="BB77" s="7">
        <v>0.1399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0.0912</v>
      </c>
      <c r="BJ77" s="4">
        <v>32</v>
      </c>
      <c r="BK77" s="8">
        <v>912.67</v>
      </c>
      <c r="BL77" s="2" t="s">
        <v>287</v>
      </c>
      <c r="BM77" s="7">
        <v>0.0938</v>
      </c>
      <c r="BN77" s="7">
        <v>0.0789</v>
      </c>
      <c r="BO77" s="4">
        <v>3</v>
      </c>
      <c r="BP77" s="8">
        <v>72</v>
      </c>
      <c r="BQ77" s="4">
        <v>10</v>
      </c>
      <c r="BR77" s="8">
        <v>248</v>
      </c>
      <c r="BS77" s="7">
        <v>-0.7</v>
      </c>
      <c r="BT77" s="7">
        <v>-0.7097</v>
      </c>
      <c r="BU77" s="2" t="s">
        <v>211</v>
      </c>
      <c r="BV77" s="2" t="s">
        <v>352</v>
      </c>
      <c r="BW77" s="2" t="s">
        <v>244</v>
      </c>
      <c r="BX77" s="2" t="s">
        <v>370</v>
      </c>
      <c r="BY77" s="2" t="s">
        <v>354</v>
      </c>
    </row>
    <row r="78">
      <c r="A78" s="2" t="s">
        <v>371</v>
      </c>
      <c r="B78" s="2" t="s">
        <v>86</v>
      </c>
      <c r="C78" s="2" t="s">
        <v>87</v>
      </c>
      <c r="D78" s="2" t="s">
        <v>88</v>
      </c>
      <c r="E78" s="2" t="s">
        <v>88</v>
      </c>
      <c r="F78" s="2" t="s">
        <v>327</v>
      </c>
      <c r="G78" s="2" t="s">
        <v>328</v>
      </c>
      <c r="H78" s="2" t="s">
        <v>329</v>
      </c>
      <c r="I78" s="2" t="s">
        <v>330</v>
      </c>
      <c r="J78" s="2" t="s">
        <v>331</v>
      </c>
      <c r="K78" s="2" t="s">
        <v>367</v>
      </c>
      <c r="L78" s="3">
        <v>13.5</v>
      </c>
      <c r="M78" s="3">
        <v>14.18</v>
      </c>
      <c r="N78" s="3">
        <v>29.99</v>
      </c>
      <c r="O78" s="2" t="s">
        <v>95</v>
      </c>
      <c r="P78" s="2" t="s">
        <v>150</v>
      </c>
      <c r="Q78" s="2" t="s">
        <v>97</v>
      </c>
      <c r="R78" s="2" t="s">
        <v>98</v>
      </c>
      <c r="S78" s="2" t="s">
        <v>369</v>
      </c>
      <c r="T78" s="2" t="s">
        <v>98</v>
      </c>
      <c r="U78" s="2" t="s">
        <v>100</v>
      </c>
      <c r="V78" s="2" t="s">
        <v>334</v>
      </c>
      <c r="W78" s="2" t="s">
        <v>335</v>
      </c>
      <c r="X78" s="2" t="s">
        <v>372</v>
      </c>
      <c r="Y78" s="2" t="s">
        <v>104</v>
      </c>
      <c r="Z78" s="4">
        <v>109</v>
      </c>
      <c r="AA78" s="4">
        <f>=ROUNDDOWN(9.90909090909091,0)</f>
      </c>
      <c r="AB78" s="5">
        <v>11</v>
      </c>
      <c r="AC78" s="2" t="s">
        <v>373</v>
      </c>
      <c r="AD78" s="4">
        <v>260</v>
      </c>
      <c r="AE78" s="4">
        <v>260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4</v>
      </c>
      <c r="AQ78" s="8">
        <v>60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0.1166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99</v>
      </c>
      <c r="BK78" s="8">
        <v>1275.69</v>
      </c>
      <c r="BL78" s="2" t="s">
        <v>374</v>
      </c>
      <c r="BM78" s="7">
        <v>0.0404</v>
      </c>
      <c r="BN78" s="7">
        <v>0.047</v>
      </c>
      <c r="BO78" s="4">
        <v>4</v>
      </c>
      <c r="BP78" s="8">
        <v>60</v>
      </c>
      <c r="BQ78" s="4"/>
      <c r="BR78" s="8"/>
      <c r="BS78" s="7"/>
      <c r="BT78" s="7"/>
      <c r="BU78" s="2" t="s">
        <v>107</v>
      </c>
      <c r="BV78" s="2" t="s">
        <v>108</v>
      </c>
      <c r="BW78" s="2" t="s">
        <v>244</v>
      </c>
      <c r="BX78" s="2" t="s">
        <v>370</v>
      </c>
      <c r="BY78" s="2" t="s">
        <v>111</v>
      </c>
    </row>
    <row r="79">
      <c r="A79" s="2" t="s">
        <v>375</v>
      </c>
      <c r="B79" s="2" t="s">
        <v>86</v>
      </c>
      <c r="C79" s="2" t="s">
        <v>87</v>
      </c>
      <c r="D79" s="2" t="s">
        <v>88</v>
      </c>
      <c r="E79" s="2" t="s">
        <v>88</v>
      </c>
      <c r="F79" s="2" t="s">
        <v>327</v>
      </c>
      <c r="G79" s="2" t="s">
        <v>328</v>
      </c>
      <c r="H79" s="2" t="s">
        <v>329</v>
      </c>
      <c r="I79" s="2" t="s">
        <v>330</v>
      </c>
      <c r="J79" s="2" t="s">
        <v>93</v>
      </c>
      <c r="K79" s="2" t="s">
        <v>367</v>
      </c>
      <c r="L79" s="3">
        <v>15.75</v>
      </c>
      <c r="M79" s="3">
        <v>16.54</v>
      </c>
      <c r="N79" s="3">
        <v>34.99</v>
      </c>
      <c r="O79" s="2" t="s">
        <v>95</v>
      </c>
      <c r="P79" s="2" t="s">
        <v>150</v>
      </c>
      <c r="Q79" s="2" t="s">
        <v>97</v>
      </c>
      <c r="R79" s="2" t="s">
        <v>98</v>
      </c>
      <c r="S79" s="2" t="s">
        <v>369</v>
      </c>
      <c r="T79" s="2" t="s">
        <v>98</v>
      </c>
      <c r="U79" s="2" t="s">
        <v>100</v>
      </c>
      <c r="V79" s="2" t="s">
        <v>334</v>
      </c>
      <c r="W79" s="2" t="s">
        <v>335</v>
      </c>
      <c r="X79" s="2" t="s">
        <v>372</v>
      </c>
      <c r="Y79" s="2" t="s">
        <v>104</v>
      </c>
      <c r="Z79" s="4">
        <v>137</v>
      </c>
      <c r="AA79" s="4">
        <f>=ROUNDDOWN(5.07407407407407,0)</f>
      </c>
      <c r="AB79" s="5">
        <v>27</v>
      </c>
      <c r="AC79" s="2" t="s">
        <v>376</v>
      </c>
      <c r="AD79" s="4">
        <v>432</v>
      </c>
      <c r="AE79" s="4">
        <v>828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17</v>
      </c>
      <c r="AQ79" s="8">
        <v>297.5</v>
      </c>
      <c r="AR79" s="4">
        <v>71</v>
      </c>
      <c r="AS79" s="8">
        <v>1021.69</v>
      </c>
      <c r="AT79" s="7">
        <v>-0.7606</v>
      </c>
      <c r="AU79" s="7">
        <v>-0.7088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0.5782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267</v>
      </c>
      <c r="BK79" s="8">
        <v>4181.52</v>
      </c>
      <c r="BL79" s="2" t="s">
        <v>377</v>
      </c>
      <c r="BM79" s="7">
        <v>0.0637</v>
      </c>
      <c r="BN79" s="7">
        <v>0.0711</v>
      </c>
      <c r="BO79" s="4">
        <v>17</v>
      </c>
      <c r="BP79" s="8">
        <v>297.5</v>
      </c>
      <c r="BQ79" s="4">
        <v>71</v>
      </c>
      <c r="BR79" s="8">
        <v>1021.69</v>
      </c>
      <c r="BS79" s="7">
        <v>-0.7606</v>
      </c>
      <c r="BT79" s="7">
        <v>-0.7088</v>
      </c>
      <c r="BU79" s="2" t="s">
        <v>107</v>
      </c>
      <c r="BV79" s="2" t="s">
        <v>108</v>
      </c>
      <c r="BW79" s="2" t="s">
        <v>244</v>
      </c>
      <c r="BX79" s="2" t="s">
        <v>378</v>
      </c>
      <c r="BY79" s="2" t="s">
        <v>111</v>
      </c>
    </row>
    <row r="80">
      <c r="A80" s="2" t="s">
        <v>379</v>
      </c>
      <c r="B80" s="2" t="s">
        <v>86</v>
      </c>
      <c r="C80" s="2" t="s">
        <v>87</v>
      </c>
      <c r="D80" s="2" t="s">
        <v>88</v>
      </c>
      <c r="E80" s="2" t="s">
        <v>88</v>
      </c>
      <c r="F80" s="2" t="s">
        <v>327</v>
      </c>
      <c r="G80" s="2" t="s">
        <v>328</v>
      </c>
      <c r="H80" s="2" t="s">
        <v>329</v>
      </c>
      <c r="I80" s="2" t="s">
        <v>330</v>
      </c>
      <c r="J80" s="2" t="s">
        <v>113</v>
      </c>
      <c r="K80" s="2" t="s">
        <v>367</v>
      </c>
      <c r="L80" s="3">
        <v>18.4</v>
      </c>
      <c r="M80" s="3">
        <v>19.32</v>
      </c>
      <c r="N80" s="3">
        <v>39.99</v>
      </c>
      <c r="O80" s="2" t="s">
        <v>95</v>
      </c>
      <c r="P80" s="2" t="s">
        <v>150</v>
      </c>
      <c r="Q80" s="2" t="s">
        <v>97</v>
      </c>
      <c r="R80" s="2" t="s">
        <v>98</v>
      </c>
      <c r="S80" s="2" t="s">
        <v>369</v>
      </c>
      <c r="T80" s="2" t="s">
        <v>98</v>
      </c>
      <c r="U80" s="2" t="s">
        <v>100</v>
      </c>
      <c r="V80" s="2" t="s">
        <v>334</v>
      </c>
      <c r="W80" s="2" t="s">
        <v>335</v>
      </c>
      <c r="X80" s="2" t="s">
        <v>372</v>
      </c>
      <c r="Y80" s="2" t="s">
        <v>380</v>
      </c>
      <c r="Z80" s="4">
        <v>315</v>
      </c>
      <c r="AA80" s="4">
        <f>=ROUNDDOWN(45,0)</f>
      </c>
      <c r="AB80" s="5">
        <v>7</v>
      </c>
      <c r="AC80" s="2" t="s">
        <v>376</v>
      </c>
      <c r="AD80" s="4">
        <v>80</v>
      </c>
      <c r="AE80" s="4">
        <v>80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40</v>
      </c>
      <c r="AR80" s="4">
        <v>15</v>
      </c>
      <c r="AS80" s="8">
        <v>249.3</v>
      </c>
      <c r="AT80" s="7">
        <v>-0.8667</v>
      </c>
      <c r="AU80" s="7">
        <v>-0.8396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0.0777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86</v>
      </c>
      <c r="BK80" s="8">
        <v>1574.64</v>
      </c>
      <c r="BL80" s="2" t="s">
        <v>374</v>
      </c>
      <c r="BM80" s="7">
        <v>0.0233</v>
      </c>
      <c r="BN80" s="7">
        <v>0.0254</v>
      </c>
      <c r="BO80" s="4">
        <v>2</v>
      </c>
      <c r="BP80" s="8">
        <v>40</v>
      </c>
      <c r="BQ80" s="4">
        <v>15</v>
      </c>
      <c r="BR80" s="8">
        <v>249.3</v>
      </c>
      <c r="BS80" s="7">
        <v>-0.8667</v>
      </c>
      <c r="BT80" s="7">
        <v>-0.8396</v>
      </c>
      <c r="BU80" s="2" t="s">
        <v>107</v>
      </c>
      <c r="BV80" s="2" t="s">
        <v>108</v>
      </c>
      <c r="BW80" s="2" t="s">
        <v>244</v>
      </c>
      <c r="BX80" s="2" t="s">
        <v>381</v>
      </c>
      <c r="BY80" s="2" t="s">
        <v>111</v>
      </c>
    </row>
    <row r="81">
      <c r="A81" s="2" t="s">
        <v>382</v>
      </c>
      <c r="B81" s="2" t="s">
        <v>86</v>
      </c>
      <c r="C81" s="2" t="s">
        <v>87</v>
      </c>
      <c r="D81" s="2" t="s">
        <v>88</v>
      </c>
      <c r="E81" s="2" t="s">
        <v>88</v>
      </c>
      <c r="F81" s="2" t="s">
        <v>327</v>
      </c>
      <c r="G81" s="2" t="s">
        <v>328</v>
      </c>
      <c r="H81" s="2" t="s">
        <v>329</v>
      </c>
      <c r="I81" s="2" t="s">
        <v>330</v>
      </c>
      <c r="J81" s="2" t="s">
        <v>118</v>
      </c>
      <c r="K81" s="2" t="s">
        <v>367</v>
      </c>
      <c r="L81" s="3">
        <v>20.7</v>
      </c>
      <c r="M81" s="3">
        <v>21.74</v>
      </c>
      <c r="N81" s="3">
        <v>44.99</v>
      </c>
      <c r="O81" s="2" t="s">
        <v>95</v>
      </c>
      <c r="P81" s="2" t="s">
        <v>150</v>
      </c>
      <c r="Q81" s="2" t="s">
        <v>97</v>
      </c>
      <c r="R81" s="2" t="s">
        <v>98</v>
      </c>
      <c r="S81" s="2" t="s">
        <v>369</v>
      </c>
      <c r="T81" s="2" t="s">
        <v>98</v>
      </c>
      <c r="U81" s="2" t="s">
        <v>100</v>
      </c>
      <c r="V81" s="2" t="s">
        <v>334</v>
      </c>
      <c r="W81" s="2" t="s">
        <v>335</v>
      </c>
      <c r="X81" s="2" t="s">
        <v>372</v>
      </c>
      <c r="Y81" s="2" t="s">
        <v>104</v>
      </c>
      <c r="Z81" s="4">
        <v>283</v>
      </c>
      <c r="AA81" s="4">
        <f>=ROUNDDOWN(94.3333333333333,0)</f>
      </c>
      <c r="AB81" s="5">
        <v>3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45</v>
      </c>
      <c r="AR81" s="4">
        <v>20</v>
      </c>
      <c r="AS81" s="8">
        <v>377.2</v>
      </c>
      <c r="AT81" s="7">
        <v>-0.9</v>
      </c>
      <c r="AU81" s="7">
        <v>-0.8807</v>
      </c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0.0875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71</v>
      </c>
      <c r="BK81" s="8">
        <v>1472.89</v>
      </c>
      <c r="BL81" s="2" t="s">
        <v>383</v>
      </c>
      <c r="BM81" s="7">
        <v>0.0282</v>
      </c>
      <c r="BN81" s="7">
        <v>0.0306</v>
      </c>
      <c r="BO81" s="4">
        <v>2</v>
      </c>
      <c r="BP81" s="8">
        <v>45</v>
      </c>
      <c r="BQ81" s="4">
        <v>20</v>
      </c>
      <c r="BR81" s="8">
        <v>377.2</v>
      </c>
      <c r="BS81" s="7">
        <v>-0.9</v>
      </c>
      <c r="BT81" s="7">
        <v>-0.8807</v>
      </c>
      <c r="BU81" s="2" t="s">
        <v>107</v>
      </c>
      <c r="BV81" s="2" t="s">
        <v>108</v>
      </c>
      <c r="BW81" s="2" t="s">
        <v>244</v>
      </c>
      <c r="BX81" s="2" t="s">
        <v>384</v>
      </c>
      <c r="BY81" s="2" t="s">
        <v>111</v>
      </c>
    </row>
    <row r="82">
      <c r="A82" s="2" t="s">
        <v>385</v>
      </c>
      <c r="B82" s="2" t="s">
        <v>86</v>
      </c>
      <c r="C82" s="2" t="s">
        <v>87</v>
      </c>
      <c r="D82" s="2" t="s">
        <v>88</v>
      </c>
      <c r="E82" s="2" t="s">
        <v>88</v>
      </c>
      <c r="F82" s="2" t="s">
        <v>327</v>
      </c>
      <c r="G82" s="2" t="s">
        <v>328</v>
      </c>
      <c r="H82" s="2" t="s">
        <v>329</v>
      </c>
      <c r="I82" s="2" t="s">
        <v>330</v>
      </c>
      <c r="J82" s="2" t="s">
        <v>331</v>
      </c>
      <c r="K82" s="2" t="s">
        <v>386</v>
      </c>
      <c r="L82" s="3">
        <v>13.5</v>
      </c>
      <c r="M82" s="3">
        <v>14.18</v>
      </c>
      <c r="N82" s="3">
        <v>29.99</v>
      </c>
      <c r="O82" s="2" t="s">
        <v>95</v>
      </c>
      <c r="P82" s="2" t="s">
        <v>150</v>
      </c>
      <c r="Q82" s="2" t="s">
        <v>97</v>
      </c>
      <c r="R82" s="2" t="s">
        <v>98</v>
      </c>
      <c r="S82" s="2" t="s">
        <v>387</v>
      </c>
      <c r="T82" s="2" t="s">
        <v>98</v>
      </c>
      <c r="U82" s="2" t="s">
        <v>100</v>
      </c>
      <c r="V82" s="2" t="s">
        <v>334</v>
      </c>
      <c r="W82" s="2" t="s">
        <v>335</v>
      </c>
      <c r="X82" s="2" t="s">
        <v>372</v>
      </c>
      <c r="Y82" s="2" t="s">
        <v>104</v>
      </c>
      <c r="Z82" s="4">
        <v>121</v>
      </c>
      <c r="AA82" s="4">
        <f>=ROUNDDOWN(24.2,0)</f>
      </c>
      <c r="AB82" s="5">
        <v>5</v>
      </c>
      <c r="AC82" s="2" t="s">
        <v>388</v>
      </c>
      <c r="AD82" s="4">
        <v>88</v>
      </c>
      <c r="AE82" s="4">
        <v>88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6</v>
      </c>
      <c r="AQ82" s="8">
        <v>90</v>
      </c>
      <c r="AR82" s="4">
        <v>20</v>
      </c>
      <c r="AS82" s="8">
        <v>238.2</v>
      </c>
      <c r="AT82" s="7">
        <v>-0.7</v>
      </c>
      <c r="AU82" s="7">
        <v>-0.6222</v>
      </c>
      <c r="AV82" s="4">
        <v>25</v>
      </c>
      <c r="AW82" s="8">
        <v>462.5</v>
      </c>
      <c r="AX82" s="4">
        <v>94</v>
      </c>
      <c r="AY82" s="8">
        <v>1352.14</v>
      </c>
      <c r="AZ82" s="7">
        <v>-0.734</v>
      </c>
      <c r="BA82" s="7">
        <v>-0.6579</v>
      </c>
      <c r="BB82" s="7">
        <v>0.1946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0.082</v>
      </c>
      <c r="BJ82" s="4">
        <v>117</v>
      </c>
      <c r="BK82" s="8">
        <v>1564.69</v>
      </c>
      <c r="BL82" s="2" t="s">
        <v>389</v>
      </c>
      <c r="BM82" s="7">
        <v>0.0513</v>
      </c>
      <c r="BN82" s="7">
        <v>0.0575</v>
      </c>
      <c r="BO82" s="4">
        <v>6</v>
      </c>
      <c r="BP82" s="8">
        <v>90</v>
      </c>
      <c r="BQ82" s="4">
        <v>20</v>
      </c>
      <c r="BR82" s="8">
        <v>238.2</v>
      </c>
      <c r="BS82" s="7">
        <v>-0.7</v>
      </c>
      <c r="BT82" s="7">
        <v>-0.6222</v>
      </c>
      <c r="BU82" s="2" t="s">
        <v>107</v>
      </c>
      <c r="BV82" s="2" t="s">
        <v>108</v>
      </c>
      <c r="BW82" s="2" t="s">
        <v>244</v>
      </c>
      <c r="BX82" s="2" t="s">
        <v>390</v>
      </c>
      <c r="BY82" s="2" t="s">
        <v>111</v>
      </c>
    </row>
    <row r="83">
      <c r="A83" s="2" t="s">
        <v>391</v>
      </c>
      <c r="B83" s="2" t="s">
        <v>86</v>
      </c>
      <c r="C83" s="2" t="s">
        <v>87</v>
      </c>
      <c r="D83" s="2" t="s">
        <v>88</v>
      </c>
      <c r="E83" s="2" t="s">
        <v>88</v>
      </c>
      <c r="F83" s="2" t="s">
        <v>327</v>
      </c>
      <c r="G83" s="2" t="s">
        <v>328</v>
      </c>
      <c r="H83" s="2" t="s">
        <v>329</v>
      </c>
      <c r="I83" s="2" t="s">
        <v>330</v>
      </c>
      <c r="J83" s="2" t="s">
        <v>93</v>
      </c>
      <c r="K83" s="2" t="s">
        <v>386</v>
      </c>
      <c r="L83" s="3">
        <v>15.75</v>
      </c>
      <c r="M83" s="3">
        <v>16.54</v>
      </c>
      <c r="N83" s="3">
        <v>34.99</v>
      </c>
      <c r="O83" s="2" t="s">
        <v>95</v>
      </c>
      <c r="P83" s="2" t="s">
        <v>150</v>
      </c>
      <c r="Q83" s="2" t="s">
        <v>97</v>
      </c>
      <c r="R83" s="2" t="s">
        <v>98</v>
      </c>
      <c r="S83" s="2" t="s">
        <v>387</v>
      </c>
      <c r="T83" s="2" t="s">
        <v>98</v>
      </c>
      <c r="U83" s="2" t="s">
        <v>100</v>
      </c>
      <c r="V83" s="2" t="s">
        <v>334</v>
      </c>
      <c r="W83" s="2" t="s">
        <v>335</v>
      </c>
      <c r="X83" s="2" t="s">
        <v>372</v>
      </c>
      <c r="Y83" s="2" t="s">
        <v>104</v>
      </c>
      <c r="Z83" s="4">
        <v>137</v>
      </c>
      <c r="AA83" s="4">
        <f>=ROUNDDOWN(11.5126050420168,0)</f>
      </c>
      <c r="AB83" s="5">
        <v>11.9</v>
      </c>
      <c r="AC83" s="2" t="s">
        <v>376</v>
      </c>
      <c r="AD83" s="4">
        <v>100</v>
      </c>
      <c r="AE83" s="4">
        <v>332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3</v>
      </c>
      <c r="AQ83" s="8">
        <v>52.5</v>
      </c>
      <c r="AR83" s="4">
        <v>54</v>
      </c>
      <c r="AS83" s="8">
        <v>777.06</v>
      </c>
      <c r="AT83" s="7">
        <v>-0.9444</v>
      </c>
      <c r="AU83" s="7">
        <v>-0.9324</v>
      </c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0.1135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170</v>
      </c>
      <c r="BK83" s="8">
        <v>2533.47</v>
      </c>
      <c r="BL83" s="2" t="s">
        <v>392</v>
      </c>
      <c r="BM83" s="7">
        <v>0.0176</v>
      </c>
      <c r="BN83" s="7">
        <v>0.0207</v>
      </c>
      <c r="BO83" s="4">
        <v>3</v>
      </c>
      <c r="BP83" s="8">
        <v>52.5</v>
      </c>
      <c r="BQ83" s="4">
        <v>54</v>
      </c>
      <c r="BR83" s="8">
        <v>777.06</v>
      </c>
      <c r="BS83" s="7">
        <v>-0.9444</v>
      </c>
      <c r="BT83" s="7">
        <v>-0.9324</v>
      </c>
      <c r="BU83" s="2" t="s">
        <v>107</v>
      </c>
      <c r="BV83" s="2" t="s">
        <v>108</v>
      </c>
      <c r="BW83" s="2" t="s">
        <v>244</v>
      </c>
      <c r="BX83" s="2" t="s">
        <v>393</v>
      </c>
      <c r="BY83" s="2" t="s">
        <v>111</v>
      </c>
    </row>
    <row r="84">
      <c r="A84" s="2" t="s">
        <v>394</v>
      </c>
      <c r="B84" s="2" t="s">
        <v>86</v>
      </c>
      <c r="C84" s="2" t="s">
        <v>87</v>
      </c>
      <c r="D84" s="2" t="s">
        <v>88</v>
      </c>
      <c r="E84" s="2" t="s">
        <v>88</v>
      </c>
      <c r="F84" s="2" t="s">
        <v>327</v>
      </c>
      <c r="G84" s="2" t="s">
        <v>328</v>
      </c>
      <c r="H84" s="2" t="s">
        <v>329</v>
      </c>
      <c r="I84" s="2" t="s">
        <v>330</v>
      </c>
      <c r="J84" s="2" t="s">
        <v>113</v>
      </c>
      <c r="K84" s="2" t="s">
        <v>386</v>
      </c>
      <c r="L84" s="3">
        <v>18.4</v>
      </c>
      <c r="M84" s="3">
        <v>19.32</v>
      </c>
      <c r="N84" s="3">
        <v>39.99</v>
      </c>
      <c r="O84" s="2" t="s">
        <v>95</v>
      </c>
      <c r="P84" s="2" t="s">
        <v>150</v>
      </c>
      <c r="Q84" s="2" t="s">
        <v>97</v>
      </c>
      <c r="R84" s="2" t="s">
        <v>98</v>
      </c>
      <c r="S84" s="2" t="s">
        <v>387</v>
      </c>
      <c r="T84" s="2" t="s">
        <v>98</v>
      </c>
      <c r="U84" s="2" t="s">
        <v>100</v>
      </c>
      <c r="V84" s="2" t="s">
        <v>334</v>
      </c>
      <c r="W84" s="2" t="s">
        <v>335</v>
      </c>
      <c r="X84" s="2" t="s">
        <v>372</v>
      </c>
      <c r="Y84" s="2" t="s">
        <v>104</v>
      </c>
      <c r="Z84" s="4">
        <v>57</v>
      </c>
      <c r="AA84" s="4">
        <f>=ROUNDDOWN(8.90625,0)</f>
      </c>
      <c r="AB84" s="5">
        <v>6.4</v>
      </c>
      <c r="AC84" s="2" t="s">
        <v>376</v>
      </c>
      <c r="AD84" s="4">
        <v>48</v>
      </c>
      <c r="AE84" s="4">
        <v>216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16</v>
      </c>
      <c r="AQ84" s="8">
        <v>320</v>
      </c>
      <c r="AR84" s="4">
        <v>18</v>
      </c>
      <c r="AS84" s="8">
        <v>299.16</v>
      </c>
      <c r="AT84" s="7">
        <v>-0.1111</v>
      </c>
      <c r="AU84" s="7">
        <v>0.0697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0.6919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66</v>
      </c>
      <c r="BK84" s="8">
        <v>1247.53</v>
      </c>
      <c r="BL84" s="2" t="s">
        <v>395</v>
      </c>
      <c r="BM84" s="7">
        <v>0.2424</v>
      </c>
      <c r="BN84" s="7">
        <v>0.2565</v>
      </c>
      <c r="BO84" s="4">
        <v>16</v>
      </c>
      <c r="BP84" s="8">
        <v>320</v>
      </c>
      <c r="BQ84" s="4">
        <v>18</v>
      </c>
      <c r="BR84" s="8">
        <v>299.16</v>
      </c>
      <c r="BS84" s="7">
        <v>-0.1111</v>
      </c>
      <c r="BT84" s="7">
        <v>0.0697</v>
      </c>
      <c r="BU84" s="2" t="s">
        <v>107</v>
      </c>
      <c r="BV84" s="2" t="s">
        <v>108</v>
      </c>
      <c r="BW84" s="2" t="s">
        <v>244</v>
      </c>
      <c r="BX84" s="2" t="s">
        <v>396</v>
      </c>
      <c r="BY84" s="2" t="s">
        <v>111</v>
      </c>
    </row>
    <row r="85">
      <c r="A85" s="2" t="s">
        <v>397</v>
      </c>
      <c r="B85" s="2" t="s">
        <v>86</v>
      </c>
      <c r="C85" s="2" t="s">
        <v>87</v>
      </c>
      <c r="D85" s="2" t="s">
        <v>88</v>
      </c>
      <c r="E85" s="2" t="s">
        <v>88</v>
      </c>
      <c r="F85" s="2" t="s">
        <v>327</v>
      </c>
      <c r="G85" s="2" t="s">
        <v>328</v>
      </c>
      <c r="H85" s="2" t="s">
        <v>329</v>
      </c>
      <c r="I85" s="2" t="s">
        <v>330</v>
      </c>
      <c r="J85" s="2" t="s">
        <v>118</v>
      </c>
      <c r="K85" s="2" t="s">
        <v>386</v>
      </c>
      <c r="L85" s="3">
        <v>20.7</v>
      </c>
      <c r="M85" s="3">
        <v>21.74</v>
      </c>
      <c r="N85" s="3">
        <v>44.99</v>
      </c>
      <c r="O85" s="2" t="s">
        <v>95</v>
      </c>
      <c r="P85" s="2" t="s">
        <v>150</v>
      </c>
      <c r="Q85" s="2" t="s">
        <v>97</v>
      </c>
      <c r="R85" s="2" t="s">
        <v>98</v>
      </c>
      <c r="S85" s="2" t="s">
        <v>387</v>
      </c>
      <c r="T85" s="2" t="s">
        <v>98</v>
      </c>
      <c r="U85" s="2" t="s">
        <v>100</v>
      </c>
      <c r="V85" s="2" t="s">
        <v>334</v>
      </c>
      <c r="W85" s="2" t="s">
        <v>335</v>
      </c>
      <c r="X85" s="2" t="s">
        <v>372</v>
      </c>
      <c r="Y85" s="2" t="s">
        <v>104</v>
      </c>
      <c r="Z85" s="4">
        <v>175</v>
      </c>
      <c r="AA85" s="4">
        <f>=ROUNDDOWN(87.5,0)</f>
      </c>
      <c r="AB85" s="5">
        <v>2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2</v>
      </c>
      <c r="AS85" s="8">
        <v>37.72</v>
      </c>
      <c r="AT85" s="7">
        <v>-1</v>
      </c>
      <c r="AU85" s="7">
        <v>-1</v>
      </c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21</v>
      </c>
      <c r="BK85" s="8">
        <v>459.38</v>
      </c>
      <c r="BL85" s="2" t="s">
        <v>398</v>
      </c>
      <c r="BM85" s="7"/>
      <c r="BN85" s="7"/>
      <c r="BO85" s="4"/>
      <c r="BP85" s="8"/>
      <c r="BQ85" s="4">
        <v>2</v>
      </c>
      <c r="BR85" s="8">
        <v>37.72</v>
      </c>
      <c r="BS85" s="7">
        <v>-1</v>
      </c>
      <c r="BT85" s="7">
        <v>-1</v>
      </c>
      <c r="BU85" s="2" t="s">
        <v>107</v>
      </c>
      <c r="BV85" s="2" t="s">
        <v>108</v>
      </c>
      <c r="BW85" s="2" t="s">
        <v>244</v>
      </c>
      <c r="BX85" s="2" t="s">
        <v>337</v>
      </c>
      <c r="BY85" s="2" t="s">
        <v>111</v>
      </c>
    </row>
    <row r="86">
      <c r="A86" s="2" t="s">
        <v>399</v>
      </c>
      <c r="B86" s="2" t="s">
        <v>86</v>
      </c>
      <c r="C86" s="2" t="s">
        <v>87</v>
      </c>
      <c r="D86" s="2" t="s">
        <v>88</v>
      </c>
      <c r="E86" s="2" t="s">
        <v>88</v>
      </c>
      <c r="F86" s="2" t="s">
        <v>327</v>
      </c>
      <c r="G86" s="2" t="s">
        <v>328</v>
      </c>
      <c r="H86" s="2" t="s">
        <v>329</v>
      </c>
      <c r="I86" s="2" t="s">
        <v>347</v>
      </c>
      <c r="J86" s="2" t="s">
        <v>348</v>
      </c>
      <c r="K86" s="2" t="s">
        <v>400</v>
      </c>
      <c r="L86" s="3">
        <v>27</v>
      </c>
      <c r="M86" s="3">
        <v>28.35</v>
      </c>
      <c r="N86" s="3">
        <v>59.99</v>
      </c>
      <c r="O86" s="2" t="s">
        <v>241</v>
      </c>
      <c r="P86" s="2" t="s">
        <v>215</v>
      </c>
      <c r="Q86" s="2" t="s">
        <v>97</v>
      </c>
      <c r="R86" s="2" t="s">
        <v>98</v>
      </c>
      <c r="S86" s="2" t="s">
        <v>401</v>
      </c>
      <c r="T86" s="2" t="s">
        <v>98</v>
      </c>
      <c r="U86" s="2" t="s">
        <v>100</v>
      </c>
      <c r="V86" s="2" t="s">
        <v>334</v>
      </c>
      <c r="W86" s="2" t="s">
        <v>335</v>
      </c>
      <c r="X86" s="2" t="s">
        <v>98</v>
      </c>
      <c r="Y86" s="2" t="s">
        <v>104</v>
      </c>
      <c r="Z86" s="4">
        <v>2</v>
      </c>
      <c r="AA86" s="4">
        <f>=ROUNDDOWN(0.101010101010101,0)</f>
      </c>
      <c r="AB86" s="5">
        <v>19.8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28</v>
      </c>
      <c r="AQ86" s="8">
        <v>420</v>
      </c>
      <c r="AR86" s="4">
        <v>25</v>
      </c>
      <c r="AS86" s="8">
        <v>620</v>
      </c>
      <c r="AT86" s="7">
        <v>0.12</v>
      </c>
      <c r="AU86" s="7">
        <v>-0.3226</v>
      </c>
      <c r="AV86" s="4">
        <v>28</v>
      </c>
      <c r="AW86" s="8">
        <v>420</v>
      </c>
      <c r="AX86" s="4">
        <v>25</v>
      </c>
      <c r="AY86" s="8">
        <v>620</v>
      </c>
      <c r="AZ86" s="7">
        <v>0.12</v>
      </c>
      <c r="BA86" s="7">
        <v>-0.3226</v>
      </c>
      <c r="BB86" s="7">
        <v>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0.0744</v>
      </c>
      <c r="BJ86" s="4">
        <v>107</v>
      </c>
      <c r="BK86" s="8">
        <v>2393.24</v>
      </c>
      <c r="BL86" s="2" t="s">
        <v>402</v>
      </c>
      <c r="BM86" s="7">
        <v>0.2617</v>
      </c>
      <c r="BN86" s="7">
        <v>0.1755</v>
      </c>
      <c r="BO86" s="4">
        <v>28</v>
      </c>
      <c r="BP86" s="8">
        <v>420</v>
      </c>
      <c r="BQ86" s="4">
        <v>25</v>
      </c>
      <c r="BR86" s="8">
        <v>620</v>
      </c>
      <c r="BS86" s="7">
        <v>0.12</v>
      </c>
      <c r="BT86" s="7">
        <v>-0.3226</v>
      </c>
      <c r="BU86" s="2" t="s">
        <v>211</v>
      </c>
      <c r="BV86" s="2" t="s">
        <v>352</v>
      </c>
      <c r="BW86" s="2" t="s">
        <v>244</v>
      </c>
      <c r="BX86" s="2" t="s">
        <v>357</v>
      </c>
      <c r="BY86" s="2" t="s">
        <v>354</v>
      </c>
    </row>
    <row r="87">
      <c r="A87" s="2" t="s">
        <v>403</v>
      </c>
      <c r="B87" s="2" t="s">
        <v>86</v>
      </c>
      <c r="C87" s="2" t="s">
        <v>87</v>
      </c>
      <c r="D87" s="2" t="s">
        <v>88</v>
      </c>
      <c r="E87" s="2" t="s">
        <v>88</v>
      </c>
      <c r="F87" s="2" t="s">
        <v>327</v>
      </c>
      <c r="G87" s="2" t="s">
        <v>328</v>
      </c>
      <c r="H87" s="2" t="s">
        <v>329</v>
      </c>
      <c r="I87" s="2" t="s">
        <v>347</v>
      </c>
      <c r="J87" s="2" t="s">
        <v>348</v>
      </c>
      <c r="K87" s="2" t="s">
        <v>404</v>
      </c>
      <c r="L87" s="3">
        <v>27</v>
      </c>
      <c r="M87" s="3">
        <v>28.35</v>
      </c>
      <c r="N87" s="3">
        <v>59.99</v>
      </c>
      <c r="O87" s="2" t="s">
        <v>241</v>
      </c>
      <c r="P87" s="2" t="s">
        <v>215</v>
      </c>
      <c r="Q87" s="2" t="s">
        <v>97</v>
      </c>
      <c r="R87" s="2" t="s">
        <v>98</v>
      </c>
      <c r="S87" s="2" t="s">
        <v>387</v>
      </c>
      <c r="T87" s="2" t="s">
        <v>98</v>
      </c>
      <c r="U87" s="2" t="s">
        <v>100</v>
      </c>
      <c r="V87" s="2" t="s">
        <v>334</v>
      </c>
      <c r="W87" s="2" t="s">
        <v>335</v>
      </c>
      <c r="X87" s="2" t="s">
        <v>98</v>
      </c>
      <c r="Y87" s="2" t="s">
        <v>104</v>
      </c>
      <c r="Z87" s="4">
        <v>1</v>
      </c>
      <c r="AA87" s="4">
        <f>=ROUNDDOWN(0.5,0)</f>
      </c>
      <c r="AB87" s="5">
        <v>2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16</v>
      </c>
      <c r="AQ87" s="8">
        <v>384</v>
      </c>
      <c r="AR87" s="4">
        <v>4</v>
      </c>
      <c r="AS87" s="8">
        <v>99.2</v>
      </c>
      <c r="AT87" s="7">
        <v>3</v>
      </c>
      <c r="AU87" s="7">
        <v>2.871</v>
      </c>
      <c r="AV87" s="4">
        <v>16</v>
      </c>
      <c r="AW87" s="8">
        <v>384</v>
      </c>
      <c r="AX87" s="4">
        <v>4</v>
      </c>
      <c r="AY87" s="8">
        <v>99.2</v>
      </c>
      <c r="AZ87" s="7">
        <v>3</v>
      </c>
      <c r="BA87" s="7">
        <v>2.871</v>
      </c>
      <c r="BB87" s="7">
        <v>1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0.0681</v>
      </c>
      <c r="BJ87" s="4">
        <v>63</v>
      </c>
      <c r="BK87" s="8">
        <v>1738.4</v>
      </c>
      <c r="BL87" s="2" t="s">
        <v>405</v>
      </c>
      <c r="BM87" s="7">
        <v>0.254</v>
      </c>
      <c r="BN87" s="7">
        <v>0.2209</v>
      </c>
      <c r="BO87" s="4">
        <v>16</v>
      </c>
      <c r="BP87" s="8">
        <v>384</v>
      </c>
      <c r="BQ87" s="4">
        <v>4</v>
      </c>
      <c r="BR87" s="8">
        <v>99.2</v>
      </c>
      <c r="BS87" s="7">
        <v>3</v>
      </c>
      <c r="BT87" s="7">
        <v>2.871</v>
      </c>
      <c r="BU87" s="2" t="s">
        <v>211</v>
      </c>
      <c r="BV87" s="2" t="s">
        <v>352</v>
      </c>
      <c r="BW87" s="2" t="s">
        <v>244</v>
      </c>
      <c r="BX87" s="2" t="s">
        <v>340</v>
      </c>
      <c r="BY87" s="2" t="s">
        <v>354</v>
      </c>
    </row>
    <row r="88">
      <c r="A88" s="2" t="s">
        <v>406</v>
      </c>
      <c r="B88" s="2" t="s">
        <v>86</v>
      </c>
      <c r="C88" s="2" t="s">
        <v>87</v>
      </c>
      <c r="D88" s="2" t="s">
        <v>88</v>
      </c>
      <c r="E88" s="2" t="s">
        <v>88</v>
      </c>
      <c r="F88" s="2" t="s">
        <v>327</v>
      </c>
      <c r="G88" s="2" t="s">
        <v>328</v>
      </c>
      <c r="H88" s="2" t="s">
        <v>329</v>
      </c>
      <c r="I88" s="2" t="s">
        <v>330</v>
      </c>
      <c r="J88" s="2" t="s">
        <v>331</v>
      </c>
      <c r="K88" s="2" t="s">
        <v>407</v>
      </c>
      <c r="L88" s="3">
        <v>13.5</v>
      </c>
      <c r="M88" s="3">
        <v>14.18</v>
      </c>
      <c r="N88" s="3">
        <v>29.99</v>
      </c>
      <c r="O88" s="2" t="s">
        <v>95</v>
      </c>
      <c r="P88" s="2" t="s">
        <v>150</v>
      </c>
      <c r="Q88" s="2" t="s">
        <v>97</v>
      </c>
      <c r="R88" s="2" t="s">
        <v>98</v>
      </c>
      <c r="S88" s="2" t="s">
        <v>401</v>
      </c>
      <c r="T88" s="2" t="s">
        <v>98</v>
      </c>
      <c r="U88" s="2" t="s">
        <v>100</v>
      </c>
      <c r="V88" s="2" t="s">
        <v>334</v>
      </c>
      <c r="W88" s="2" t="s">
        <v>335</v>
      </c>
      <c r="X88" s="2" t="s">
        <v>372</v>
      </c>
      <c r="Y88" s="2" t="s">
        <v>408</v>
      </c>
      <c r="Z88" s="4">
        <v>148</v>
      </c>
      <c r="AA88" s="4">
        <f>=ROUNDDOWN(5.92,0)</f>
      </c>
      <c r="AB88" s="5">
        <v>25</v>
      </c>
      <c r="AC88" s="2" t="s">
        <v>376</v>
      </c>
      <c r="AD88" s="4">
        <v>152</v>
      </c>
      <c r="AE88" s="4">
        <v>460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4</v>
      </c>
      <c r="AQ88" s="8">
        <v>60</v>
      </c>
      <c r="AR88" s="4">
        <v>17</v>
      </c>
      <c r="AS88" s="8">
        <v>202.47</v>
      </c>
      <c r="AT88" s="7">
        <v>-0.7647</v>
      </c>
      <c r="AU88" s="7">
        <v>-0.7037</v>
      </c>
      <c r="AV88" s="4">
        <v>18</v>
      </c>
      <c r="AW88" s="8">
        <v>350</v>
      </c>
      <c r="AX88" s="4">
        <v>99</v>
      </c>
      <c r="AY88" s="8">
        <v>1442.66</v>
      </c>
      <c r="AZ88" s="7">
        <v>-0.8182</v>
      </c>
      <c r="BA88" s="7">
        <v>-0.7574</v>
      </c>
      <c r="BB88" s="7">
        <v>0.1714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0.062</v>
      </c>
      <c r="BJ88" s="4">
        <v>189</v>
      </c>
      <c r="BK88" s="8">
        <v>2441.46</v>
      </c>
      <c r="BL88" s="2" t="s">
        <v>409</v>
      </c>
      <c r="BM88" s="7">
        <v>0.0212</v>
      </c>
      <c r="BN88" s="7">
        <v>0.0246</v>
      </c>
      <c r="BO88" s="4">
        <v>4</v>
      </c>
      <c r="BP88" s="8">
        <v>60</v>
      </c>
      <c r="BQ88" s="4">
        <v>17</v>
      </c>
      <c r="BR88" s="8">
        <v>202.47</v>
      </c>
      <c r="BS88" s="7">
        <v>-0.7647</v>
      </c>
      <c r="BT88" s="7">
        <v>-0.7037</v>
      </c>
      <c r="BU88" s="2" t="s">
        <v>107</v>
      </c>
      <c r="BV88" s="2" t="s">
        <v>108</v>
      </c>
      <c r="BW88" s="2" t="s">
        <v>244</v>
      </c>
      <c r="BX88" s="2" t="s">
        <v>410</v>
      </c>
      <c r="BY88" s="2" t="s">
        <v>111</v>
      </c>
    </row>
    <row r="89">
      <c r="A89" s="2" t="s">
        <v>411</v>
      </c>
      <c r="B89" s="2" t="s">
        <v>86</v>
      </c>
      <c r="C89" s="2" t="s">
        <v>87</v>
      </c>
      <c r="D89" s="2" t="s">
        <v>88</v>
      </c>
      <c r="E89" s="2" t="s">
        <v>88</v>
      </c>
      <c r="F89" s="2" t="s">
        <v>327</v>
      </c>
      <c r="G89" s="2" t="s">
        <v>328</v>
      </c>
      <c r="H89" s="2" t="s">
        <v>329</v>
      </c>
      <c r="I89" s="2" t="s">
        <v>330</v>
      </c>
      <c r="J89" s="2" t="s">
        <v>93</v>
      </c>
      <c r="K89" s="2" t="s">
        <v>407</v>
      </c>
      <c r="L89" s="3">
        <v>15.75</v>
      </c>
      <c r="M89" s="3">
        <v>16.54</v>
      </c>
      <c r="N89" s="3">
        <v>34.99</v>
      </c>
      <c r="O89" s="2" t="s">
        <v>95</v>
      </c>
      <c r="P89" s="2" t="s">
        <v>129</v>
      </c>
      <c r="Q89" s="2" t="s">
        <v>97</v>
      </c>
      <c r="R89" s="2" t="s">
        <v>98</v>
      </c>
      <c r="S89" s="2" t="s">
        <v>401</v>
      </c>
      <c r="T89" s="2" t="s">
        <v>98</v>
      </c>
      <c r="U89" s="2" t="s">
        <v>100</v>
      </c>
      <c r="V89" s="2" t="s">
        <v>334</v>
      </c>
      <c r="W89" s="2" t="s">
        <v>335</v>
      </c>
      <c r="X89" s="2" t="s">
        <v>372</v>
      </c>
      <c r="Y89" s="2" t="s">
        <v>104</v>
      </c>
      <c r="Z89" s="4">
        <v>1243</v>
      </c>
      <c r="AA89" s="4">
        <f>=ROUNDDOWN(32.7105263157895,0)</f>
      </c>
      <c r="AB89" s="5">
        <v>38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>
        <v>5.3</v>
      </c>
      <c r="AL89" s="2" t="s">
        <v>98</v>
      </c>
      <c r="AM89" s="4"/>
      <c r="AN89" s="4"/>
      <c r="AO89" s="7">
        <v>0.0444</v>
      </c>
      <c r="AP89" s="4">
        <v>4</v>
      </c>
      <c r="AQ89" s="8">
        <v>70</v>
      </c>
      <c r="AR89" s="4">
        <v>55</v>
      </c>
      <c r="AS89" s="8">
        <v>791.45</v>
      </c>
      <c r="AT89" s="7">
        <v>-0.9273</v>
      </c>
      <c r="AU89" s="7">
        <v>-0.9116</v>
      </c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0.2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447</v>
      </c>
      <c r="BK89" s="8">
        <v>6656.46</v>
      </c>
      <c r="BL89" s="2" t="s">
        <v>412</v>
      </c>
      <c r="BM89" s="7">
        <v>0.0089</v>
      </c>
      <c r="BN89" s="7">
        <v>0.0105</v>
      </c>
      <c r="BO89" s="4">
        <v>4</v>
      </c>
      <c r="BP89" s="8">
        <v>70</v>
      </c>
      <c r="BQ89" s="4">
        <v>55</v>
      </c>
      <c r="BR89" s="8">
        <v>791.45</v>
      </c>
      <c r="BS89" s="7">
        <v>-0.9273</v>
      </c>
      <c r="BT89" s="7">
        <v>-0.9116</v>
      </c>
      <c r="BU89" s="2" t="s">
        <v>107</v>
      </c>
      <c r="BV89" s="2" t="s">
        <v>108</v>
      </c>
      <c r="BW89" s="2" t="s">
        <v>244</v>
      </c>
      <c r="BX89" s="2" t="s">
        <v>393</v>
      </c>
      <c r="BY89" s="2" t="s">
        <v>111</v>
      </c>
    </row>
    <row r="90">
      <c r="A90" s="2" t="s">
        <v>413</v>
      </c>
      <c r="B90" s="2" t="s">
        <v>86</v>
      </c>
      <c r="C90" s="2" t="s">
        <v>87</v>
      </c>
      <c r="D90" s="2" t="s">
        <v>88</v>
      </c>
      <c r="E90" s="2" t="s">
        <v>88</v>
      </c>
      <c r="F90" s="2" t="s">
        <v>327</v>
      </c>
      <c r="G90" s="2" t="s">
        <v>328</v>
      </c>
      <c r="H90" s="2" t="s">
        <v>329</v>
      </c>
      <c r="I90" s="2" t="s">
        <v>330</v>
      </c>
      <c r="J90" s="2" t="s">
        <v>113</v>
      </c>
      <c r="K90" s="2" t="s">
        <v>407</v>
      </c>
      <c r="L90" s="3">
        <v>18.4</v>
      </c>
      <c r="M90" s="3">
        <v>19.32</v>
      </c>
      <c r="N90" s="3">
        <v>39.99</v>
      </c>
      <c r="O90" s="2" t="s">
        <v>95</v>
      </c>
      <c r="P90" s="2" t="s">
        <v>150</v>
      </c>
      <c r="Q90" s="2" t="s">
        <v>97</v>
      </c>
      <c r="R90" s="2" t="s">
        <v>98</v>
      </c>
      <c r="S90" s="2" t="s">
        <v>401</v>
      </c>
      <c r="T90" s="2" t="s">
        <v>98</v>
      </c>
      <c r="U90" s="2" t="s">
        <v>100</v>
      </c>
      <c r="V90" s="2" t="s">
        <v>334</v>
      </c>
      <c r="W90" s="2" t="s">
        <v>335</v>
      </c>
      <c r="X90" s="2" t="s">
        <v>372</v>
      </c>
      <c r="Y90" s="2" t="s">
        <v>104</v>
      </c>
      <c r="Z90" s="4">
        <v>464</v>
      </c>
      <c r="AA90" s="4">
        <f>=ROUNDDOWN(35.6923076923077,0)</f>
      </c>
      <c r="AB90" s="5">
        <v>13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2</v>
      </c>
      <c r="AQ90" s="8">
        <v>40</v>
      </c>
      <c r="AR90" s="4">
        <v>27</v>
      </c>
      <c r="AS90" s="8">
        <v>448.74</v>
      </c>
      <c r="AT90" s="7">
        <v>-0.9259</v>
      </c>
      <c r="AU90" s="7">
        <v>-0.9109</v>
      </c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0.1143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112</v>
      </c>
      <c r="BK90" s="8">
        <v>2001.85</v>
      </c>
      <c r="BL90" s="2" t="s">
        <v>414</v>
      </c>
      <c r="BM90" s="7">
        <v>0.0179</v>
      </c>
      <c r="BN90" s="7">
        <v>0.02</v>
      </c>
      <c r="BO90" s="4">
        <v>2</v>
      </c>
      <c r="BP90" s="8">
        <v>40</v>
      </c>
      <c r="BQ90" s="4">
        <v>27</v>
      </c>
      <c r="BR90" s="8">
        <v>448.74</v>
      </c>
      <c r="BS90" s="7">
        <v>-0.9259</v>
      </c>
      <c r="BT90" s="7">
        <v>-0.9109</v>
      </c>
      <c r="BU90" s="2" t="s">
        <v>107</v>
      </c>
      <c r="BV90" s="2" t="s">
        <v>108</v>
      </c>
      <c r="BW90" s="2" t="s">
        <v>244</v>
      </c>
      <c r="BX90" s="2" t="s">
        <v>415</v>
      </c>
      <c r="BY90" s="2" t="s">
        <v>111</v>
      </c>
    </row>
    <row r="91">
      <c r="A91" s="2" t="s">
        <v>416</v>
      </c>
      <c r="B91" s="2" t="s">
        <v>86</v>
      </c>
      <c r="C91" s="2" t="s">
        <v>87</v>
      </c>
      <c r="D91" s="2" t="s">
        <v>88</v>
      </c>
      <c r="E91" s="2" t="s">
        <v>88</v>
      </c>
      <c r="F91" s="2" t="s">
        <v>327</v>
      </c>
      <c r="G91" s="2" t="s">
        <v>328</v>
      </c>
      <c r="H91" s="2" t="s">
        <v>329</v>
      </c>
      <c r="I91" s="2" t="s">
        <v>330</v>
      </c>
      <c r="J91" s="2" t="s">
        <v>118</v>
      </c>
      <c r="K91" s="2" t="s">
        <v>407</v>
      </c>
      <c r="L91" s="3">
        <v>20.7</v>
      </c>
      <c r="M91" s="3">
        <v>21.74</v>
      </c>
      <c r="N91" s="3">
        <v>44.99</v>
      </c>
      <c r="O91" s="2" t="s">
        <v>95</v>
      </c>
      <c r="P91" s="2" t="s">
        <v>150</v>
      </c>
      <c r="Q91" s="2" t="s">
        <v>97</v>
      </c>
      <c r="R91" s="2" t="s">
        <v>98</v>
      </c>
      <c r="S91" s="2" t="s">
        <v>401</v>
      </c>
      <c r="T91" s="2" t="s">
        <v>98</v>
      </c>
      <c r="U91" s="2" t="s">
        <v>100</v>
      </c>
      <c r="V91" s="2" t="s">
        <v>334</v>
      </c>
      <c r="W91" s="2" t="s">
        <v>335</v>
      </c>
      <c r="X91" s="2" t="s">
        <v>372</v>
      </c>
      <c r="Y91" s="2" t="s">
        <v>104</v>
      </c>
      <c r="Z91" s="4">
        <v>524</v>
      </c>
      <c r="AA91" s="4">
        <f>=ROUNDDOWN(52.9292929292929,0)</f>
      </c>
      <c r="AB91" s="5">
        <v>9.9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8</v>
      </c>
      <c r="AQ91" s="8">
        <v>180</v>
      </c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0.5143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121</v>
      </c>
      <c r="BK91" s="8">
        <v>2442.09</v>
      </c>
      <c r="BL91" s="2" t="s">
        <v>417</v>
      </c>
      <c r="BM91" s="7">
        <v>0.0661</v>
      </c>
      <c r="BN91" s="7">
        <v>0.0737</v>
      </c>
      <c r="BO91" s="4">
        <v>8</v>
      </c>
      <c r="BP91" s="8">
        <v>180</v>
      </c>
      <c r="BQ91" s="4"/>
      <c r="BR91" s="8"/>
      <c r="BS91" s="7"/>
      <c r="BT91" s="7"/>
      <c r="BU91" s="2" t="s">
        <v>107</v>
      </c>
      <c r="BV91" s="2" t="s">
        <v>108</v>
      </c>
      <c r="BW91" s="2" t="s">
        <v>244</v>
      </c>
      <c r="BX91" s="2" t="s">
        <v>365</v>
      </c>
      <c r="BY91" s="2" t="s">
        <v>111</v>
      </c>
    </row>
    <row r="92">
      <c r="A92" s="2" t="s">
        <v>418</v>
      </c>
      <c r="B92" s="2" t="s">
        <v>86</v>
      </c>
      <c r="C92" s="2" t="s">
        <v>87</v>
      </c>
      <c r="D92" s="2" t="s">
        <v>88</v>
      </c>
      <c r="E92" s="2" t="s">
        <v>88</v>
      </c>
      <c r="F92" s="2" t="s">
        <v>327</v>
      </c>
      <c r="G92" s="2" t="s">
        <v>328</v>
      </c>
      <c r="H92" s="2" t="s">
        <v>329</v>
      </c>
      <c r="I92" s="2" t="s">
        <v>330</v>
      </c>
      <c r="J92" s="2" t="s">
        <v>331</v>
      </c>
      <c r="K92" s="2" t="s">
        <v>419</v>
      </c>
      <c r="L92" s="3">
        <v>13.5</v>
      </c>
      <c r="M92" s="3">
        <v>14.18</v>
      </c>
      <c r="N92" s="3">
        <v>29.99</v>
      </c>
      <c r="O92" s="2" t="s">
        <v>95</v>
      </c>
      <c r="P92" s="2" t="s">
        <v>215</v>
      </c>
      <c r="Q92" s="2" t="s">
        <v>97</v>
      </c>
      <c r="R92" s="2" t="s">
        <v>98</v>
      </c>
      <c r="S92" s="2" t="s">
        <v>420</v>
      </c>
      <c r="T92" s="2" t="s">
        <v>98</v>
      </c>
      <c r="U92" s="2" t="s">
        <v>100</v>
      </c>
      <c r="V92" s="2" t="s">
        <v>334</v>
      </c>
      <c r="W92" s="2" t="s">
        <v>335</v>
      </c>
      <c r="X92" s="2" t="s">
        <v>372</v>
      </c>
      <c r="Y92" s="2" t="s">
        <v>104</v>
      </c>
      <c r="Z92" s="4">
        <v>160</v>
      </c>
      <c r="AA92" s="4">
        <f>=ROUNDDOWN(22.8571428571429,0)</f>
      </c>
      <c r="AB92" s="5">
        <v>7</v>
      </c>
      <c r="AC92" s="2" t="s">
        <v>253</v>
      </c>
      <c r="AD92" s="4">
        <v>32</v>
      </c>
      <c r="AE92" s="4">
        <v>32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4</v>
      </c>
      <c r="AQ92" s="8">
        <v>60</v>
      </c>
      <c r="AR92" s="4">
        <v>19</v>
      </c>
      <c r="AS92" s="8">
        <v>226.29</v>
      </c>
      <c r="AT92" s="7">
        <v>-0.7895</v>
      </c>
      <c r="AU92" s="7">
        <v>-0.7349</v>
      </c>
      <c r="AV92" s="4">
        <v>19</v>
      </c>
      <c r="AW92" s="8">
        <v>342.5</v>
      </c>
      <c r="AX92" s="4">
        <v>65</v>
      </c>
      <c r="AY92" s="8">
        <v>932.85</v>
      </c>
      <c r="AZ92" s="7">
        <v>-0.7077</v>
      </c>
      <c r="BA92" s="7">
        <v>-0.6328</v>
      </c>
      <c r="BB92" s="7">
        <v>0.1752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0.0607</v>
      </c>
      <c r="BJ92" s="4">
        <v>66</v>
      </c>
      <c r="BK92" s="8">
        <v>828.91</v>
      </c>
      <c r="BL92" s="2" t="s">
        <v>421</v>
      </c>
      <c r="BM92" s="7">
        <v>0.0606</v>
      </c>
      <c r="BN92" s="7">
        <v>0.0724</v>
      </c>
      <c r="BO92" s="4">
        <v>4</v>
      </c>
      <c r="BP92" s="8">
        <v>60</v>
      </c>
      <c r="BQ92" s="4">
        <v>19</v>
      </c>
      <c r="BR92" s="8">
        <v>226.29</v>
      </c>
      <c r="BS92" s="7">
        <v>-0.7895</v>
      </c>
      <c r="BT92" s="7">
        <v>-0.7349</v>
      </c>
      <c r="BU92" s="2" t="s">
        <v>107</v>
      </c>
      <c r="BV92" s="2" t="s">
        <v>108</v>
      </c>
      <c r="BW92" s="2" t="s">
        <v>244</v>
      </c>
      <c r="BX92" s="2" t="s">
        <v>422</v>
      </c>
      <c r="BY92" s="2" t="s">
        <v>111</v>
      </c>
    </row>
    <row r="93">
      <c r="A93" s="2" t="s">
        <v>423</v>
      </c>
      <c r="B93" s="2" t="s">
        <v>86</v>
      </c>
      <c r="C93" s="2" t="s">
        <v>87</v>
      </c>
      <c r="D93" s="2" t="s">
        <v>88</v>
      </c>
      <c r="E93" s="2" t="s">
        <v>88</v>
      </c>
      <c r="F93" s="2" t="s">
        <v>327</v>
      </c>
      <c r="G93" s="2" t="s">
        <v>328</v>
      </c>
      <c r="H93" s="2" t="s">
        <v>329</v>
      </c>
      <c r="I93" s="2" t="s">
        <v>330</v>
      </c>
      <c r="J93" s="2" t="s">
        <v>93</v>
      </c>
      <c r="K93" s="2" t="s">
        <v>419</v>
      </c>
      <c r="L93" s="3">
        <v>15.75</v>
      </c>
      <c r="M93" s="3">
        <v>16.54</v>
      </c>
      <c r="N93" s="3">
        <v>34.99</v>
      </c>
      <c r="O93" s="2" t="s">
        <v>95</v>
      </c>
      <c r="P93" s="2" t="s">
        <v>215</v>
      </c>
      <c r="Q93" s="2" t="s">
        <v>97</v>
      </c>
      <c r="R93" s="2" t="s">
        <v>98</v>
      </c>
      <c r="S93" s="2" t="s">
        <v>420</v>
      </c>
      <c r="T93" s="2" t="s">
        <v>98</v>
      </c>
      <c r="U93" s="2" t="s">
        <v>100</v>
      </c>
      <c r="V93" s="2" t="s">
        <v>334</v>
      </c>
      <c r="W93" s="2" t="s">
        <v>335</v>
      </c>
      <c r="X93" s="2" t="s">
        <v>372</v>
      </c>
      <c r="Y93" s="2" t="s">
        <v>104</v>
      </c>
      <c r="Z93" s="4">
        <v>119</v>
      </c>
      <c r="AA93" s="4">
        <f>=ROUNDDOWN(9.91666666666667,0)</f>
      </c>
      <c r="AB93" s="5">
        <v>12</v>
      </c>
      <c r="AC93" s="2" t="s">
        <v>253</v>
      </c>
      <c r="AD93" s="4">
        <v>268</v>
      </c>
      <c r="AE93" s="4">
        <v>268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11</v>
      </c>
      <c r="AQ93" s="8">
        <v>192.5</v>
      </c>
      <c r="AR93" s="4">
        <v>28</v>
      </c>
      <c r="AS93" s="8">
        <v>402.92</v>
      </c>
      <c r="AT93" s="7">
        <v>-0.6071</v>
      </c>
      <c r="AU93" s="7">
        <v>-0.5222</v>
      </c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0.562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154</v>
      </c>
      <c r="BK93" s="8">
        <v>2338.82</v>
      </c>
      <c r="BL93" s="2" t="s">
        <v>424</v>
      </c>
      <c r="BM93" s="7">
        <v>0.0714</v>
      </c>
      <c r="BN93" s="7">
        <v>0.0823</v>
      </c>
      <c r="BO93" s="4">
        <v>11</v>
      </c>
      <c r="BP93" s="8">
        <v>192.5</v>
      </c>
      <c r="BQ93" s="4">
        <v>28</v>
      </c>
      <c r="BR93" s="8">
        <v>402.92</v>
      </c>
      <c r="BS93" s="7">
        <v>-0.6071</v>
      </c>
      <c r="BT93" s="7">
        <v>-0.5222</v>
      </c>
      <c r="BU93" s="2" t="s">
        <v>107</v>
      </c>
      <c r="BV93" s="2" t="s">
        <v>108</v>
      </c>
      <c r="BW93" s="2" t="s">
        <v>244</v>
      </c>
      <c r="BX93" s="2" t="s">
        <v>340</v>
      </c>
      <c r="BY93" s="2" t="s">
        <v>111</v>
      </c>
    </row>
    <row r="94">
      <c r="A94" s="2" t="s">
        <v>425</v>
      </c>
      <c r="B94" s="2" t="s">
        <v>86</v>
      </c>
      <c r="C94" s="2" t="s">
        <v>87</v>
      </c>
      <c r="D94" s="2" t="s">
        <v>88</v>
      </c>
      <c r="E94" s="2" t="s">
        <v>88</v>
      </c>
      <c r="F94" s="2" t="s">
        <v>327</v>
      </c>
      <c r="G94" s="2" t="s">
        <v>328</v>
      </c>
      <c r="H94" s="2" t="s">
        <v>329</v>
      </c>
      <c r="I94" s="2" t="s">
        <v>330</v>
      </c>
      <c r="J94" s="2" t="s">
        <v>113</v>
      </c>
      <c r="K94" s="2" t="s">
        <v>419</v>
      </c>
      <c r="L94" s="3">
        <v>18.4</v>
      </c>
      <c r="M94" s="3">
        <v>19.32</v>
      </c>
      <c r="N94" s="3">
        <v>39.99</v>
      </c>
      <c r="O94" s="2" t="s">
        <v>95</v>
      </c>
      <c r="P94" s="2" t="s">
        <v>215</v>
      </c>
      <c r="Q94" s="2" t="s">
        <v>97</v>
      </c>
      <c r="R94" s="2" t="s">
        <v>98</v>
      </c>
      <c r="S94" s="2" t="s">
        <v>420</v>
      </c>
      <c r="T94" s="2" t="s">
        <v>98</v>
      </c>
      <c r="U94" s="2" t="s">
        <v>100</v>
      </c>
      <c r="V94" s="2" t="s">
        <v>334</v>
      </c>
      <c r="W94" s="2" t="s">
        <v>335</v>
      </c>
      <c r="X94" s="2" t="s">
        <v>372</v>
      </c>
      <c r="Y94" s="2" t="s">
        <v>104</v>
      </c>
      <c r="Z94" s="4">
        <v>181</v>
      </c>
      <c r="AA94" s="4">
        <f>=ROUNDDOWN(22.625,0)</f>
      </c>
      <c r="AB94" s="5">
        <v>8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16</v>
      </c>
      <c r="AS94" s="8">
        <v>265.92</v>
      </c>
      <c r="AT94" s="7">
        <v>-1</v>
      </c>
      <c r="AU94" s="7">
        <v>-1</v>
      </c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48</v>
      </c>
      <c r="BK94" s="8">
        <v>920.73</v>
      </c>
      <c r="BL94" s="2" t="s">
        <v>426</v>
      </c>
      <c r="BM94" s="7"/>
      <c r="BN94" s="7"/>
      <c r="BO94" s="4"/>
      <c r="BP94" s="8"/>
      <c r="BQ94" s="4">
        <v>16</v>
      </c>
      <c r="BR94" s="8">
        <v>265.92</v>
      </c>
      <c r="BS94" s="7">
        <v>-1</v>
      </c>
      <c r="BT94" s="7">
        <v>-1</v>
      </c>
      <c r="BU94" s="2" t="s">
        <v>107</v>
      </c>
      <c r="BV94" s="2" t="s">
        <v>108</v>
      </c>
      <c r="BW94" s="2" t="s">
        <v>244</v>
      </c>
      <c r="BX94" s="2" t="s">
        <v>427</v>
      </c>
      <c r="BY94" s="2" t="s">
        <v>111</v>
      </c>
    </row>
    <row r="95">
      <c r="A95" s="2" t="s">
        <v>428</v>
      </c>
      <c r="B95" s="2" t="s">
        <v>86</v>
      </c>
      <c r="C95" s="2" t="s">
        <v>87</v>
      </c>
      <c r="D95" s="2" t="s">
        <v>88</v>
      </c>
      <c r="E95" s="2" t="s">
        <v>88</v>
      </c>
      <c r="F95" s="2" t="s">
        <v>327</v>
      </c>
      <c r="G95" s="2" t="s">
        <v>328</v>
      </c>
      <c r="H95" s="2" t="s">
        <v>329</v>
      </c>
      <c r="I95" s="2" t="s">
        <v>330</v>
      </c>
      <c r="J95" s="2" t="s">
        <v>118</v>
      </c>
      <c r="K95" s="2" t="s">
        <v>419</v>
      </c>
      <c r="L95" s="3">
        <v>20.7</v>
      </c>
      <c r="M95" s="3">
        <v>21.74</v>
      </c>
      <c r="N95" s="3">
        <v>44.99</v>
      </c>
      <c r="O95" s="2" t="s">
        <v>95</v>
      </c>
      <c r="P95" s="2" t="s">
        <v>215</v>
      </c>
      <c r="Q95" s="2" t="s">
        <v>97</v>
      </c>
      <c r="R95" s="2" t="s">
        <v>98</v>
      </c>
      <c r="S95" s="2" t="s">
        <v>420</v>
      </c>
      <c r="T95" s="2" t="s">
        <v>98</v>
      </c>
      <c r="U95" s="2" t="s">
        <v>100</v>
      </c>
      <c r="V95" s="2" t="s">
        <v>334</v>
      </c>
      <c r="W95" s="2" t="s">
        <v>335</v>
      </c>
      <c r="X95" s="2" t="s">
        <v>372</v>
      </c>
      <c r="Y95" s="2" t="s">
        <v>104</v>
      </c>
      <c r="Z95" s="4">
        <v>301</v>
      </c>
      <c r="AA95" s="4">
        <f>=ROUNDDOWN(100.333333333333,0)</f>
      </c>
      <c r="AB95" s="5">
        <v>3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4</v>
      </c>
      <c r="AQ95" s="8">
        <v>90</v>
      </c>
      <c r="AR95" s="4">
        <v>2</v>
      </c>
      <c r="AS95" s="8">
        <v>37.72</v>
      </c>
      <c r="AT95" s="7">
        <v>1</v>
      </c>
      <c r="AU95" s="7">
        <v>1.386</v>
      </c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0.2628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39</v>
      </c>
      <c r="BK95" s="8">
        <v>783.79</v>
      </c>
      <c r="BL95" s="2" t="s">
        <v>429</v>
      </c>
      <c r="BM95" s="7">
        <v>0.1026</v>
      </c>
      <c r="BN95" s="7">
        <v>0.1148</v>
      </c>
      <c r="BO95" s="4">
        <v>4</v>
      </c>
      <c r="BP95" s="8">
        <v>90</v>
      </c>
      <c r="BQ95" s="4">
        <v>2</v>
      </c>
      <c r="BR95" s="8">
        <v>37.72</v>
      </c>
      <c r="BS95" s="7">
        <v>1</v>
      </c>
      <c r="BT95" s="7">
        <v>1.386</v>
      </c>
      <c r="BU95" s="2" t="s">
        <v>107</v>
      </c>
      <c r="BV95" s="2" t="s">
        <v>108</v>
      </c>
      <c r="BW95" s="2" t="s">
        <v>244</v>
      </c>
      <c r="BX95" s="2" t="s">
        <v>410</v>
      </c>
      <c r="BY95" s="2" t="s">
        <v>111</v>
      </c>
    </row>
    <row r="96">
      <c r="A96" s="2" t="s">
        <v>430</v>
      </c>
      <c r="B96" s="2" t="s">
        <v>86</v>
      </c>
      <c r="C96" s="2" t="s">
        <v>87</v>
      </c>
      <c r="D96" s="2" t="s">
        <v>88</v>
      </c>
      <c r="E96" s="2" t="s">
        <v>88</v>
      </c>
      <c r="F96" s="2" t="s">
        <v>327</v>
      </c>
      <c r="G96" s="2" t="s">
        <v>328</v>
      </c>
      <c r="H96" s="2" t="s">
        <v>329</v>
      </c>
      <c r="I96" s="2" t="s">
        <v>347</v>
      </c>
      <c r="J96" s="2" t="s">
        <v>348</v>
      </c>
      <c r="K96" s="2" t="s">
        <v>431</v>
      </c>
      <c r="L96" s="3">
        <v>27</v>
      </c>
      <c r="M96" s="3">
        <v>28.35</v>
      </c>
      <c r="N96" s="3">
        <v>59.99</v>
      </c>
      <c r="O96" s="2" t="s">
        <v>241</v>
      </c>
      <c r="P96" s="2" t="s">
        <v>215</v>
      </c>
      <c r="Q96" s="2" t="s">
        <v>97</v>
      </c>
      <c r="R96" s="2" t="s">
        <v>98</v>
      </c>
      <c r="S96" s="2" t="s">
        <v>432</v>
      </c>
      <c r="T96" s="2" t="s">
        <v>98</v>
      </c>
      <c r="U96" s="2" t="s">
        <v>100</v>
      </c>
      <c r="V96" s="2" t="s">
        <v>334</v>
      </c>
      <c r="W96" s="2" t="s">
        <v>335</v>
      </c>
      <c r="X96" s="2" t="s">
        <v>98</v>
      </c>
      <c r="Y96" s="2" t="s">
        <v>433</v>
      </c>
      <c r="Z96" s="4">
        <v>1</v>
      </c>
      <c r="AA96" s="4">
        <f>=ROUNDDOWN(0.5,0)</f>
      </c>
      <c r="AB96" s="5">
        <v>2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22</v>
      </c>
      <c r="AQ96" s="8">
        <v>330</v>
      </c>
      <c r="AR96" s="4">
        <v>6</v>
      </c>
      <c r="AS96" s="8">
        <v>148.8</v>
      </c>
      <c r="AT96" s="7">
        <v>2.6667</v>
      </c>
      <c r="AU96" s="7">
        <v>1.2177</v>
      </c>
      <c r="AV96" s="4">
        <v>22</v>
      </c>
      <c r="AW96" s="8">
        <v>330</v>
      </c>
      <c r="AX96" s="4">
        <v>6</v>
      </c>
      <c r="AY96" s="8">
        <v>148.8</v>
      </c>
      <c r="AZ96" s="7">
        <v>2.6667</v>
      </c>
      <c r="BA96" s="7">
        <v>1.2177</v>
      </c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0.0585</v>
      </c>
      <c r="BJ96" s="4">
        <v>50</v>
      </c>
      <c r="BK96" s="8">
        <v>1056.96</v>
      </c>
      <c r="BL96" s="2" t="s">
        <v>287</v>
      </c>
      <c r="BM96" s="7">
        <v>0.44</v>
      </c>
      <c r="BN96" s="7">
        <v>0.3122</v>
      </c>
      <c r="BO96" s="4">
        <v>22</v>
      </c>
      <c r="BP96" s="8">
        <v>330</v>
      </c>
      <c r="BQ96" s="4">
        <v>6</v>
      </c>
      <c r="BR96" s="8">
        <v>148.8</v>
      </c>
      <c r="BS96" s="7">
        <v>2.6667</v>
      </c>
      <c r="BT96" s="7">
        <v>1.2177</v>
      </c>
      <c r="BU96" s="2" t="s">
        <v>211</v>
      </c>
      <c r="BV96" s="2" t="s">
        <v>352</v>
      </c>
      <c r="BW96" s="2" t="s">
        <v>244</v>
      </c>
      <c r="BX96" s="2" t="s">
        <v>357</v>
      </c>
      <c r="BY96" s="2" t="s">
        <v>354</v>
      </c>
    </row>
    <row r="97">
      <c r="A97" s="2" t="s">
        <v>434</v>
      </c>
      <c r="B97" s="2" t="s">
        <v>86</v>
      </c>
      <c r="C97" s="2" t="s">
        <v>87</v>
      </c>
      <c r="D97" s="2" t="s">
        <v>88</v>
      </c>
      <c r="E97" s="2" t="s">
        <v>88</v>
      </c>
      <c r="F97" s="2" t="s">
        <v>327</v>
      </c>
      <c r="G97" s="2" t="s">
        <v>328</v>
      </c>
      <c r="H97" s="2" t="s">
        <v>329</v>
      </c>
      <c r="I97" s="2" t="s">
        <v>330</v>
      </c>
      <c r="J97" s="2" t="s">
        <v>331</v>
      </c>
      <c r="K97" s="2" t="s">
        <v>435</v>
      </c>
      <c r="L97" s="3">
        <v>13.5</v>
      </c>
      <c r="M97" s="3">
        <v>14.18</v>
      </c>
      <c r="N97" s="3">
        <v>29.99</v>
      </c>
      <c r="O97" s="2" t="s">
        <v>241</v>
      </c>
      <c r="P97" s="2" t="s">
        <v>215</v>
      </c>
      <c r="Q97" s="2" t="s">
        <v>97</v>
      </c>
      <c r="R97" s="2" t="s">
        <v>98</v>
      </c>
      <c r="S97" s="2" t="s">
        <v>432</v>
      </c>
      <c r="T97" s="2" t="s">
        <v>98</v>
      </c>
      <c r="U97" s="2" t="s">
        <v>100</v>
      </c>
      <c r="V97" s="2" t="s">
        <v>334</v>
      </c>
      <c r="W97" s="2" t="s">
        <v>335</v>
      </c>
      <c r="X97" s="2" t="s">
        <v>98</v>
      </c>
      <c r="Y97" s="2" t="s">
        <v>104</v>
      </c>
      <c r="Z97" s="4">
        <v>156</v>
      </c>
      <c r="AA97" s="4">
        <f>=ROUNDDOWN(33.1914893617021,0)</f>
      </c>
      <c r="AB97" s="5">
        <v>4.7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11</v>
      </c>
      <c r="AQ97" s="8">
        <v>165</v>
      </c>
      <c r="AR97" s="4">
        <v>13</v>
      </c>
      <c r="AS97" s="8">
        <v>154.83</v>
      </c>
      <c r="AT97" s="7">
        <v>-0.1538</v>
      </c>
      <c r="AU97" s="7">
        <v>0.0657</v>
      </c>
      <c r="AV97" s="4">
        <v>18</v>
      </c>
      <c r="AW97" s="8">
        <v>297.5</v>
      </c>
      <c r="AX97" s="4">
        <v>54</v>
      </c>
      <c r="AY97" s="8">
        <v>784.96</v>
      </c>
      <c r="AZ97" s="7">
        <v>-0.6667</v>
      </c>
      <c r="BA97" s="7">
        <v>-0.621</v>
      </c>
      <c r="BB97" s="7">
        <v>0.5546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0.0527</v>
      </c>
      <c r="BJ97" s="4">
        <v>49</v>
      </c>
      <c r="BK97" s="8">
        <v>643.14</v>
      </c>
      <c r="BL97" s="2" t="s">
        <v>436</v>
      </c>
      <c r="BM97" s="7">
        <v>0.2245</v>
      </c>
      <c r="BN97" s="7">
        <v>0.2566</v>
      </c>
      <c r="BO97" s="4">
        <v>11</v>
      </c>
      <c r="BP97" s="8">
        <v>165</v>
      </c>
      <c r="BQ97" s="4">
        <v>13</v>
      </c>
      <c r="BR97" s="8">
        <v>154.83</v>
      </c>
      <c r="BS97" s="7">
        <v>-0.1538</v>
      </c>
      <c r="BT97" s="7">
        <v>0.0657</v>
      </c>
      <c r="BU97" s="2" t="s">
        <v>107</v>
      </c>
      <c r="BV97" s="2" t="s">
        <v>108</v>
      </c>
      <c r="BW97" s="2" t="s">
        <v>244</v>
      </c>
      <c r="BX97" s="2" t="s">
        <v>340</v>
      </c>
      <c r="BY97" s="2" t="s">
        <v>111</v>
      </c>
    </row>
    <row r="98">
      <c r="A98" s="2" t="s">
        <v>437</v>
      </c>
      <c r="B98" s="2" t="s">
        <v>86</v>
      </c>
      <c r="C98" s="2" t="s">
        <v>87</v>
      </c>
      <c r="D98" s="2" t="s">
        <v>88</v>
      </c>
      <c r="E98" s="2" t="s">
        <v>88</v>
      </c>
      <c r="F98" s="2" t="s">
        <v>327</v>
      </c>
      <c r="G98" s="2" t="s">
        <v>328</v>
      </c>
      <c r="H98" s="2" t="s">
        <v>329</v>
      </c>
      <c r="I98" s="2" t="s">
        <v>330</v>
      </c>
      <c r="J98" s="2" t="s">
        <v>93</v>
      </c>
      <c r="K98" s="2" t="s">
        <v>435</v>
      </c>
      <c r="L98" s="3">
        <v>15.75</v>
      </c>
      <c r="M98" s="3">
        <v>16.54</v>
      </c>
      <c r="N98" s="3">
        <v>34.99</v>
      </c>
      <c r="O98" s="2" t="s">
        <v>241</v>
      </c>
      <c r="P98" s="2" t="s">
        <v>215</v>
      </c>
      <c r="Q98" s="2" t="s">
        <v>97</v>
      </c>
      <c r="R98" s="2" t="s">
        <v>98</v>
      </c>
      <c r="S98" s="2" t="s">
        <v>432</v>
      </c>
      <c r="T98" s="2" t="s">
        <v>98</v>
      </c>
      <c r="U98" s="2" t="s">
        <v>100</v>
      </c>
      <c r="V98" s="2" t="s">
        <v>334</v>
      </c>
      <c r="W98" s="2" t="s">
        <v>335</v>
      </c>
      <c r="X98" s="2" t="s">
        <v>98</v>
      </c>
      <c r="Y98" s="2" t="s">
        <v>104</v>
      </c>
      <c r="Z98" s="4">
        <v>33</v>
      </c>
      <c r="AA98" s="4">
        <f>=ROUNDDOWN(13.2,0)</f>
      </c>
      <c r="AB98" s="5">
        <v>2.5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5</v>
      </c>
      <c r="AQ98" s="8">
        <v>87.5</v>
      </c>
      <c r="AR98" s="4">
        <v>23</v>
      </c>
      <c r="AS98" s="8">
        <v>330.97</v>
      </c>
      <c r="AT98" s="7">
        <v>-0.7826</v>
      </c>
      <c r="AU98" s="7">
        <v>-0.7356</v>
      </c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0.2941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103</v>
      </c>
      <c r="BK98" s="8">
        <v>1620.34</v>
      </c>
      <c r="BL98" s="2" t="s">
        <v>438</v>
      </c>
      <c r="BM98" s="7">
        <v>0.0485</v>
      </c>
      <c r="BN98" s="7">
        <v>0.054</v>
      </c>
      <c r="BO98" s="4">
        <v>5</v>
      </c>
      <c r="BP98" s="8">
        <v>87.5</v>
      </c>
      <c r="BQ98" s="4">
        <v>23</v>
      </c>
      <c r="BR98" s="8">
        <v>330.97</v>
      </c>
      <c r="BS98" s="7">
        <v>-0.7826</v>
      </c>
      <c r="BT98" s="7">
        <v>-0.7356</v>
      </c>
      <c r="BU98" s="2" t="s">
        <v>107</v>
      </c>
      <c r="BV98" s="2" t="s">
        <v>352</v>
      </c>
      <c r="BW98" s="2" t="s">
        <v>244</v>
      </c>
      <c r="BX98" s="2" t="s">
        <v>357</v>
      </c>
      <c r="BY98" s="2" t="s">
        <v>111</v>
      </c>
    </row>
    <row r="99">
      <c r="A99" s="2" t="s">
        <v>439</v>
      </c>
      <c r="B99" s="2" t="s">
        <v>86</v>
      </c>
      <c r="C99" s="2" t="s">
        <v>87</v>
      </c>
      <c r="D99" s="2" t="s">
        <v>88</v>
      </c>
      <c r="E99" s="2" t="s">
        <v>88</v>
      </c>
      <c r="F99" s="2" t="s">
        <v>327</v>
      </c>
      <c r="G99" s="2" t="s">
        <v>328</v>
      </c>
      <c r="H99" s="2" t="s">
        <v>329</v>
      </c>
      <c r="I99" s="2" t="s">
        <v>330</v>
      </c>
      <c r="J99" s="2" t="s">
        <v>113</v>
      </c>
      <c r="K99" s="2" t="s">
        <v>435</v>
      </c>
      <c r="L99" s="3">
        <v>18.4</v>
      </c>
      <c r="M99" s="3">
        <v>19.32</v>
      </c>
      <c r="N99" s="3">
        <v>39.99</v>
      </c>
      <c r="O99" s="2" t="s">
        <v>241</v>
      </c>
      <c r="P99" s="2" t="s">
        <v>215</v>
      </c>
      <c r="Q99" s="2" t="s">
        <v>97</v>
      </c>
      <c r="R99" s="2" t="s">
        <v>98</v>
      </c>
      <c r="S99" s="2" t="s">
        <v>432</v>
      </c>
      <c r="T99" s="2" t="s">
        <v>98</v>
      </c>
      <c r="U99" s="2" t="s">
        <v>100</v>
      </c>
      <c r="V99" s="2" t="s">
        <v>334</v>
      </c>
      <c r="W99" s="2" t="s">
        <v>335</v>
      </c>
      <c r="X99" s="2" t="s">
        <v>98</v>
      </c>
      <c r="Y99" s="2" t="s">
        <v>104</v>
      </c>
      <c r="Z99" s="4">
        <v>134</v>
      </c>
      <c r="AA99" s="4">
        <f>=ROUNDDOWN(26.8,0)</f>
      </c>
      <c r="AB99" s="5">
        <v>5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>
        <v>18</v>
      </c>
      <c r="AS99" s="8">
        <v>299.16</v>
      </c>
      <c r="AT99" s="7">
        <v>-1</v>
      </c>
      <c r="AU99" s="7">
        <v>-1</v>
      </c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 t="s">
        <v>98</v>
      </c>
      <c r="BJ99" s="4">
        <v>35</v>
      </c>
      <c r="BK99" s="8">
        <v>741.86</v>
      </c>
      <c r="BL99" s="2" t="s">
        <v>440</v>
      </c>
      <c r="BM99" s="7"/>
      <c r="BN99" s="7"/>
      <c r="BO99" s="4"/>
      <c r="BP99" s="8"/>
      <c r="BQ99" s="4">
        <v>18</v>
      </c>
      <c r="BR99" s="8">
        <v>299.16</v>
      </c>
      <c r="BS99" s="7">
        <v>-1</v>
      </c>
      <c r="BT99" s="7">
        <v>-1</v>
      </c>
      <c r="BU99" s="2" t="s">
        <v>211</v>
      </c>
      <c r="BV99" s="2" t="s">
        <v>95</v>
      </c>
      <c r="BW99" s="2" t="s">
        <v>244</v>
      </c>
      <c r="BX99" s="2" t="s">
        <v>370</v>
      </c>
      <c r="BY99" s="2" t="s">
        <v>111</v>
      </c>
    </row>
    <row r="100">
      <c r="A100" s="2" t="s">
        <v>441</v>
      </c>
      <c r="B100" s="2" t="s">
        <v>86</v>
      </c>
      <c r="C100" s="2" t="s">
        <v>87</v>
      </c>
      <c r="D100" s="2" t="s">
        <v>88</v>
      </c>
      <c r="E100" s="2" t="s">
        <v>88</v>
      </c>
      <c r="F100" s="2" t="s">
        <v>327</v>
      </c>
      <c r="G100" s="2" t="s">
        <v>328</v>
      </c>
      <c r="H100" s="2" t="s">
        <v>329</v>
      </c>
      <c r="I100" s="2" t="s">
        <v>330</v>
      </c>
      <c r="J100" s="2" t="s">
        <v>118</v>
      </c>
      <c r="K100" s="2" t="s">
        <v>435</v>
      </c>
      <c r="L100" s="3">
        <v>20.7</v>
      </c>
      <c r="M100" s="3">
        <v>21.74</v>
      </c>
      <c r="N100" s="3">
        <v>44.99</v>
      </c>
      <c r="O100" s="2" t="s">
        <v>241</v>
      </c>
      <c r="P100" s="2" t="s">
        <v>215</v>
      </c>
      <c r="Q100" s="2" t="s">
        <v>97</v>
      </c>
      <c r="R100" s="2" t="s">
        <v>98</v>
      </c>
      <c r="S100" s="2" t="s">
        <v>432</v>
      </c>
      <c r="T100" s="2" t="s">
        <v>98</v>
      </c>
      <c r="U100" s="2" t="s">
        <v>100</v>
      </c>
      <c r="V100" s="2" t="s">
        <v>334</v>
      </c>
      <c r="W100" s="2" t="s">
        <v>335</v>
      </c>
      <c r="X100" s="2" t="s">
        <v>98</v>
      </c>
      <c r="Y100" s="2" t="s">
        <v>104</v>
      </c>
      <c r="Z100" s="4">
        <v>278</v>
      </c>
      <c r="AA100" s="4">
        <f>=ROUNDDOWN(556,0)</f>
      </c>
      <c r="AB100" s="5">
        <v>0.5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2</v>
      </c>
      <c r="AQ100" s="8">
        <v>45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0.1513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22</v>
      </c>
      <c r="BK100" s="8">
        <v>487.1</v>
      </c>
      <c r="BL100" s="2" t="s">
        <v>442</v>
      </c>
      <c r="BM100" s="7">
        <v>0.0909</v>
      </c>
      <c r="BN100" s="7">
        <v>0.0924</v>
      </c>
      <c r="BO100" s="4">
        <v>2</v>
      </c>
      <c r="BP100" s="8">
        <v>45</v>
      </c>
      <c r="BQ100" s="4"/>
      <c r="BR100" s="8"/>
      <c r="BS100" s="7"/>
      <c r="BT100" s="7"/>
      <c r="BU100" s="2" t="s">
        <v>107</v>
      </c>
      <c r="BV100" s="2" t="s">
        <v>108</v>
      </c>
      <c r="BW100" s="2" t="s">
        <v>244</v>
      </c>
      <c r="BX100" s="2" t="s">
        <v>443</v>
      </c>
      <c r="BY100" s="2" t="s">
        <v>111</v>
      </c>
    </row>
    <row r="101">
      <c r="A101" s="2" t="s">
        <v>444</v>
      </c>
      <c r="B101" s="2" t="s">
        <v>86</v>
      </c>
      <c r="C101" s="2" t="s">
        <v>87</v>
      </c>
      <c r="D101" s="2" t="s">
        <v>88</v>
      </c>
      <c r="E101" s="2" t="s">
        <v>88</v>
      </c>
      <c r="F101" s="2" t="s">
        <v>327</v>
      </c>
      <c r="G101" s="2" t="s">
        <v>328</v>
      </c>
      <c r="H101" s="2" t="s">
        <v>329</v>
      </c>
      <c r="I101" s="2" t="s">
        <v>330</v>
      </c>
      <c r="J101" s="2" t="s">
        <v>331</v>
      </c>
      <c r="K101" s="2" t="s">
        <v>445</v>
      </c>
      <c r="L101" s="3">
        <v>13.5</v>
      </c>
      <c r="M101" s="3">
        <v>14.18</v>
      </c>
      <c r="N101" s="3">
        <v>29.99</v>
      </c>
      <c r="O101" s="2" t="s">
        <v>95</v>
      </c>
      <c r="P101" s="2" t="s">
        <v>150</v>
      </c>
      <c r="Q101" s="2" t="s">
        <v>97</v>
      </c>
      <c r="R101" s="2" t="s">
        <v>98</v>
      </c>
      <c r="S101" s="2" t="s">
        <v>446</v>
      </c>
      <c r="T101" s="2" t="s">
        <v>98</v>
      </c>
      <c r="U101" s="2" t="s">
        <v>100</v>
      </c>
      <c r="V101" s="2" t="s">
        <v>334</v>
      </c>
      <c r="W101" s="2" t="s">
        <v>335</v>
      </c>
      <c r="X101" s="2" t="s">
        <v>372</v>
      </c>
      <c r="Y101" s="2" t="s">
        <v>104</v>
      </c>
      <c r="Z101" s="4">
        <v>605</v>
      </c>
      <c r="AA101" s="4">
        <f>=ROUNDDOWN(67.2222222222222,0)</f>
      </c>
      <c r="AB101" s="5">
        <v>9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6</v>
      </c>
      <c r="AQ101" s="8">
        <v>90</v>
      </c>
      <c r="AR101" s="4">
        <v>19</v>
      </c>
      <c r="AS101" s="8">
        <v>226.29</v>
      </c>
      <c r="AT101" s="7">
        <v>-0.6842</v>
      </c>
      <c r="AU101" s="7">
        <v>-0.6023</v>
      </c>
      <c r="AV101" s="4">
        <v>16</v>
      </c>
      <c r="AW101" s="8">
        <v>275</v>
      </c>
      <c r="AX101" s="4">
        <v>119</v>
      </c>
      <c r="AY101" s="8">
        <v>1709.89</v>
      </c>
      <c r="AZ101" s="7">
        <v>-0.8655</v>
      </c>
      <c r="BA101" s="7">
        <v>-0.8392</v>
      </c>
      <c r="BB101" s="7">
        <v>0.3273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0.0487</v>
      </c>
      <c r="BJ101" s="4">
        <v>95</v>
      </c>
      <c r="BK101" s="8">
        <v>1295.84</v>
      </c>
      <c r="BL101" s="2" t="s">
        <v>447</v>
      </c>
      <c r="BM101" s="7">
        <v>0.0632</v>
      </c>
      <c r="BN101" s="7">
        <v>0.0695</v>
      </c>
      <c r="BO101" s="4">
        <v>6</v>
      </c>
      <c r="BP101" s="8">
        <v>90</v>
      </c>
      <c r="BQ101" s="4">
        <v>19</v>
      </c>
      <c r="BR101" s="8">
        <v>226.29</v>
      </c>
      <c r="BS101" s="7">
        <v>-0.6842</v>
      </c>
      <c r="BT101" s="7">
        <v>-0.6023</v>
      </c>
      <c r="BU101" s="2" t="s">
        <v>107</v>
      </c>
      <c r="BV101" s="2" t="s">
        <v>108</v>
      </c>
      <c r="BW101" s="2" t="s">
        <v>244</v>
      </c>
      <c r="BX101" s="2" t="s">
        <v>370</v>
      </c>
      <c r="BY101" s="2" t="s">
        <v>111</v>
      </c>
    </row>
    <row r="102">
      <c r="A102" s="2" t="s">
        <v>448</v>
      </c>
      <c r="B102" s="2" t="s">
        <v>86</v>
      </c>
      <c r="C102" s="2" t="s">
        <v>87</v>
      </c>
      <c r="D102" s="2" t="s">
        <v>88</v>
      </c>
      <c r="E102" s="2" t="s">
        <v>88</v>
      </c>
      <c r="F102" s="2" t="s">
        <v>327</v>
      </c>
      <c r="G102" s="2" t="s">
        <v>328</v>
      </c>
      <c r="H102" s="2" t="s">
        <v>329</v>
      </c>
      <c r="I102" s="2" t="s">
        <v>330</v>
      </c>
      <c r="J102" s="2" t="s">
        <v>93</v>
      </c>
      <c r="K102" s="2" t="s">
        <v>445</v>
      </c>
      <c r="L102" s="3">
        <v>15.75</v>
      </c>
      <c r="M102" s="3">
        <v>16.54</v>
      </c>
      <c r="N102" s="3">
        <v>34.99</v>
      </c>
      <c r="O102" s="2" t="s">
        <v>95</v>
      </c>
      <c r="P102" s="2" t="s">
        <v>150</v>
      </c>
      <c r="Q102" s="2" t="s">
        <v>97</v>
      </c>
      <c r="R102" s="2" t="s">
        <v>98</v>
      </c>
      <c r="S102" s="2" t="s">
        <v>446</v>
      </c>
      <c r="T102" s="2" t="s">
        <v>98</v>
      </c>
      <c r="U102" s="2" t="s">
        <v>100</v>
      </c>
      <c r="V102" s="2" t="s">
        <v>334</v>
      </c>
      <c r="W102" s="2" t="s">
        <v>335</v>
      </c>
      <c r="X102" s="2" t="s">
        <v>372</v>
      </c>
      <c r="Y102" s="2" t="s">
        <v>104</v>
      </c>
      <c r="Z102" s="4">
        <v>486</v>
      </c>
      <c r="AA102" s="4">
        <f>=ROUNDDOWN(44.1818181818182,0)</f>
      </c>
      <c r="AB102" s="5">
        <v>11</v>
      </c>
      <c r="AC102" s="2" t="s">
        <v>309</v>
      </c>
      <c r="AD102" s="4">
        <v>208</v>
      </c>
      <c r="AE102" s="4">
        <v>208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6</v>
      </c>
      <c r="AQ102" s="8">
        <v>105</v>
      </c>
      <c r="AR102" s="4">
        <v>80</v>
      </c>
      <c r="AS102" s="8">
        <v>1151.2</v>
      </c>
      <c r="AT102" s="7">
        <v>-0.925</v>
      </c>
      <c r="AU102" s="7">
        <v>-0.9088</v>
      </c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0.3818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146</v>
      </c>
      <c r="BK102" s="8">
        <v>2254.57</v>
      </c>
      <c r="BL102" s="2" t="s">
        <v>449</v>
      </c>
      <c r="BM102" s="7">
        <v>0.0411</v>
      </c>
      <c r="BN102" s="7">
        <v>0.0466</v>
      </c>
      <c r="BO102" s="4">
        <v>6</v>
      </c>
      <c r="BP102" s="8">
        <v>105</v>
      </c>
      <c r="BQ102" s="4">
        <v>80</v>
      </c>
      <c r="BR102" s="8">
        <v>1151.2</v>
      </c>
      <c r="BS102" s="7">
        <v>-0.925</v>
      </c>
      <c r="BT102" s="7">
        <v>-0.9088</v>
      </c>
      <c r="BU102" s="2" t="s">
        <v>107</v>
      </c>
      <c r="BV102" s="2" t="s">
        <v>108</v>
      </c>
      <c r="BW102" s="2" t="s">
        <v>244</v>
      </c>
      <c r="BX102" s="2" t="s">
        <v>450</v>
      </c>
      <c r="BY102" s="2" t="s">
        <v>111</v>
      </c>
    </row>
    <row r="103">
      <c r="A103" s="2" t="s">
        <v>451</v>
      </c>
      <c r="B103" s="2" t="s">
        <v>86</v>
      </c>
      <c r="C103" s="2" t="s">
        <v>87</v>
      </c>
      <c r="D103" s="2" t="s">
        <v>88</v>
      </c>
      <c r="E103" s="2" t="s">
        <v>88</v>
      </c>
      <c r="F103" s="2" t="s">
        <v>327</v>
      </c>
      <c r="G103" s="2" t="s">
        <v>328</v>
      </c>
      <c r="H103" s="2" t="s">
        <v>329</v>
      </c>
      <c r="I103" s="2" t="s">
        <v>330</v>
      </c>
      <c r="J103" s="2" t="s">
        <v>113</v>
      </c>
      <c r="K103" s="2" t="s">
        <v>445</v>
      </c>
      <c r="L103" s="3">
        <v>18.4</v>
      </c>
      <c r="M103" s="3">
        <v>19.32</v>
      </c>
      <c r="N103" s="3">
        <v>39.99</v>
      </c>
      <c r="O103" s="2" t="s">
        <v>95</v>
      </c>
      <c r="P103" s="2" t="s">
        <v>150</v>
      </c>
      <c r="Q103" s="2" t="s">
        <v>97</v>
      </c>
      <c r="R103" s="2" t="s">
        <v>98</v>
      </c>
      <c r="S103" s="2" t="s">
        <v>446</v>
      </c>
      <c r="T103" s="2" t="s">
        <v>98</v>
      </c>
      <c r="U103" s="2" t="s">
        <v>100</v>
      </c>
      <c r="V103" s="2" t="s">
        <v>334</v>
      </c>
      <c r="W103" s="2" t="s">
        <v>335</v>
      </c>
      <c r="X103" s="2" t="s">
        <v>372</v>
      </c>
      <c r="Y103" s="2" t="s">
        <v>104</v>
      </c>
      <c r="Z103" s="4">
        <v>171</v>
      </c>
      <c r="AA103" s="4">
        <f>=ROUNDDOWN(34.2,0)</f>
      </c>
      <c r="AB103" s="5">
        <v>5</v>
      </c>
      <c r="AC103" s="2" t="s">
        <v>98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4</v>
      </c>
      <c r="AQ103" s="8">
        <v>80</v>
      </c>
      <c r="AR103" s="4">
        <v>20</v>
      </c>
      <c r="AS103" s="8">
        <v>332.4</v>
      </c>
      <c r="AT103" s="7">
        <v>-0.8</v>
      </c>
      <c r="AU103" s="7">
        <v>-0.7593</v>
      </c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0.2909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43</v>
      </c>
      <c r="BK103" s="8">
        <v>782.97</v>
      </c>
      <c r="BL103" s="2" t="s">
        <v>452</v>
      </c>
      <c r="BM103" s="7">
        <v>0.093</v>
      </c>
      <c r="BN103" s="7">
        <v>0.1022</v>
      </c>
      <c r="BO103" s="4">
        <v>4</v>
      </c>
      <c r="BP103" s="8">
        <v>80</v>
      </c>
      <c r="BQ103" s="4">
        <v>20</v>
      </c>
      <c r="BR103" s="8">
        <v>332.4</v>
      </c>
      <c r="BS103" s="7">
        <v>-0.8</v>
      </c>
      <c r="BT103" s="7">
        <v>-0.7593</v>
      </c>
      <c r="BU103" s="2" t="s">
        <v>107</v>
      </c>
      <c r="BV103" s="2" t="s">
        <v>108</v>
      </c>
      <c r="BW103" s="2" t="s">
        <v>244</v>
      </c>
      <c r="BX103" s="2" t="s">
        <v>453</v>
      </c>
      <c r="BY103" s="2" t="s">
        <v>111</v>
      </c>
    </row>
    <row r="104">
      <c r="A104" s="2" t="s">
        <v>454</v>
      </c>
      <c r="B104" s="2" t="s">
        <v>86</v>
      </c>
      <c r="C104" s="2" t="s">
        <v>87</v>
      </c>
      <c r="D104" s="2" t="s">
        <v>88</v>
      </c>
      <c r="E104" s="2" t="s">
        <v>88</v>
      </c>
      <c r="F104" s="2" t="s">
        <v>327</v>
      </c>
      <c r="G104" s="2" t="s">
        <v>328</v>
      </c>
      <c r="H104" s="2" t="s">
        <v>329</v>
      </c>
      <c r="I104" s="2" t="s">
        <v>347</v>
      </c>
      <c r="J104" s="2" t="s">
        <v>348</v>
      </c>
      <c r="K104" s="2" t="s">
        <v>455</v>
      </c>
      <c r="L104" s="3">
        <v>27</v>
      </c>
      <c r="M104" s="3">
        <v>28.35</v>
      </c>
      <c r="N104" s="3">
        <v>59.99</v>
      </c>
      <c r="O104" s="2" t="s">
        <v>241</v>
      </c>
      <c r="P104" s="2" t="s">
        <v>215</v>
      </c>
      <c r="Q104" s="2" t="s">
        <v>97</v>
      </c>
      <c r="R104" s="2" t="s">
        <v>98</v>
      </c>
      <c r="S104" s="2" t="s">
        <v>333</v>
      </c>
      <c r="T104" s="2" t="s">
        <v>98</v>
      </c>
      <c r="U104" s="2" t="s">
        <v>100</v>
      </c>
      <c r="V104" s="2" t="s">
        <v>334</v>
      </c>
      <c r="W104" s="2" t="s">
        <v>335</v>
      </c>
      <c r="X104" s="2" t="s">
        <v>98</v>
      </c>
      <c r="Y104" s="2" t="s">
        <v>104</v>
      </c>
      <c r="Z104" s="4"/>
      <c r="AA104" s="4">
        <f>=ROUNDDOWN({0},0)</f>
      </c>
      <c r="AB104" s="5">
        <v>8.1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14</v>
      </c>
      <c r="AQ104" s="8">
        <v>273</v>
      </c>
      <c r="AR104" s="4">
        <v>15</v>
      </c>
      <c r="AS104" s="8">
        <v>372</v>
      </c>
      <c r="AT104" s="7">
        <v>-0.0667</v>
      </c>
      <c r="AU104" s="7">
        <v>-0.2661</v>
      </c>
      <c r="AV104" s="4">
        <v>14</v>
      </c>
      <c r="AW104" s="8">
        <v>273</v>
      </c>
      <c r="AX104" s="4">
        <v>15</v>
      </c>
      <c r="AY104" s="8">
        <v>372</v>
      </c>
      <c r="AZ104" s="7">
        <v>-0.0667</v>
      </c>
      <c r="BA104" s="7">
        <v>-0.2661</v>
      </c>
      <c r="BB104" s="7">
        <v>1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0.0484</v>
      </c>
      <c r="BJ104" s="4">
        <v>35</v>
      </c>
      <c r="BK104" s="8">
        <v>849.1</v>
      </c>
      <c r="BL104" s="2" t="s">
        <v>456</v>
      </c>
      <c r="BM104" s="7">
        <v>0.4</v>
      </c>
      <c r="BN104" s="7">
        <v>0.3215</v>
      </c>
      <c r="BO104" s="4">
        <v>14</v>
      </c>
      <c r="BP104" s="8">
        <v>273</v>
      </c>
      <c r="BQ104" s="4">
        <v>15</v>
      </c>
      <c r="BR104" s="8">
        <v>372</v>
      </c>
      <c r="BS104" s="7">
        <v>-0.0667</v>
      </c>
      <c r="BT104" s="7">
        <v>-0.2661</v>
      </c>
      <c r="BU104" s="2" t="s">
        <v>211</v>
      </c>
      <c r="BV104" s="2" t="s">
        <v>352</v>
      </c>
      <c r="BW104" s="2" t="s">
        <v>244</v>
      </c>
      <c r="BX104" s="2" t="s">
        <v>443</v>
      </c>
      <c r="BY104" s="2" t="s">
        <v>354</v>
      </c>
    </row>
    <row r="105">
      <c r="A105" s="2" t="s">
        <v>457</v>
      </c>
      <c r="B105" s="2" t="s">
        <v>86</v>
      </c>
      <c r="C105" s="2" t="s">
        <v>87</v>
      </c>
      <c r="D105" s="2" t="s">
        <v>88</v>
      </c>
      <c r="E105" s="2" t="s">
        <v>88</v>
      </c>
      <c r="F105" s="2" t="s">
        <v>327</v>
      </c>
      <c r="G105" s="2" t="s">
        <v>328</v>
      </c>
      <c r="H105" s="2" t="s">
        <v>329</v>
      </c>
      <c r="I105" s="2" t="s">
        <v>347</v>
      </c>
      <c r="J105" s="2" t="s">
        <v>348</v>
      </c>
      <c r="K105" s="2" t="s">
        <v>458</v>
      </c>
      <c r="L105" s="3">
        <v>27</v>
      </c>
      <c r="M105" s="3">
        <v>28.35</v>
      </c>
      <c r="N105" s="3">
        <v>59.99</v>
      </c>
      <c r="O105" s="2" t="s">
        <v>241</v>
      </c>
      <c r="P105" s="2" t="s">
        <v>215</v>
      </c>
      <c r="Q105" s="2" t="s">
        <v>97</v>
      </c>
      <c r="R105" s="2" t="s">
        <v>98</v>
      </c>
      <c r="S105" s="2" t="s">
        <v>446</v>
      </c>
      <c r="T105" s="2" t="s">
        <v>98</v>
      </c>
      <c r="U105" s="2" t="s">
        <v>100</v>
      </c>
      <c r="V105" s="2" t="s">
        <v>334</v>
      </c>
      <c r="W105" s="2" t="s">
        <v>335</v>
      </c>
      <c r="X105" s="2" t="s">
        <v>98</v>
      </c>
      <c r="Y105" s="2" t="s">
        <v>104</v>
      </c>
      <c r="Z105" s="4">
        <v>1</v>
      </c>
      <c r="AA105" s="4">
        <f>=ROUNDDOWN(1.66666666666667,0)</f>
      </c>
      <c r="AB105" s="5">
        <v>0.6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13</v>
      </c>
      <c r="AQ105" s="8">
        <v>253.5</v>
      </c>
      <c r="AR105" s="4">
        <v>15</v>
      </c>
      <c r="AS105" s="8">
        <v>372</v>
      </c>
      <c r="AT105" s="7">
        <v>-0.1333</v>
      </c>
      <c r="AU105" s="7">
        <v>-0.3185</v>
      </c>
      <c r="AV105" s="4">
        <v>13</v>
      </c>
      <c r="AW105" s="8">
        <v>253.5</v>
      </c>
      <c r="AX105" s="4">
        <v>15</v>
      </c>
      <c r="AY105" s="8">
        <v>372</v>
      </c>
      <c r="AZ105" s="7">
        <v>-0.1333</v>
      </c>
      <c r="BA105" s="7">
        <v>-0.3185</v>
      </c>
      <c r="BB105" s="7">
        <v>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0.0449</v>
      </c>
      <c r="BJ105" s="4">
        <v>62</v>
      </c>
      <c r="BK105" s="8">
        <v>1605.81</v>
      </c>
      <c r="BL105" s="2" t="s">
        <v>342</v>
      </c>
      <c r="BM105" s="7">
        <v>0.2097</v>
      </c>
      <c r="BN105" s="7">
        <v>0.1579</v>
      </c>
      <c r="BO105" s="4">
        <v>13</v>
      </c>
      <c r="BP105" s="8">
        <v>253.5</v>
      </c>
      <c r="BQ105" s="4">
        <v>15</v>
      </c>
      <c r="BR105" s="8">
        <v>372</v>
      </c>
      <c r="BS105" s="7">
        <v>-0.1333</v>
      </c>
      <c r="BT105" s="7">
        <v>-0.3185</v>
      </c>
      <c r="BU105" s="2" t="s">
        <v>211</v>
      </c>
      <c r="BV105" s="2" t="s">
        <v>352</v>
      </c>
      <c r="BW105" s="2" t="s">
        <v>244</v>
      </c>
      <c r="BX105" s="2" t="s">
        <v>443</v>
      </c>
      <c r="BY105" s="2" t="s">
        <v>354</v>
      </c>
    </row>
    <row r="106">
      <c r="A106" s="2" t="s">
        <v>459</v>
      </c>
      <c r="B106" s="2" t="s">
        <v>86</v>
      </c>
      <c r="C106" s="2" t="s">
        <v>87</v>
      </c>
      <c r="D106" s="2" t="s">
        <v>88</v>
      </c>
      <c r="E106" s="2" t="s">
        <v>88</v>
      </c>
      <c r="F106" s="2" t="s">
        <v>327</v>
      </c>
      <c r="G106" s="2" t="s">
        <v>328</v>
      </c>
      <c r="H106" s="2" t="s">
        <v>329</v>
      </c>
      <c r="I106" s="2" t="s">
        <v>347</v>
      </c>
      <c r="J106" s="2" t="s">
        <v>348</v>
      </c>
      <c r="K106" s="2" t="s">
        <v>460</v>
      </c>
      <c r="L106" s="3">
        <v>27</v>
      </c>
      <c r="M106" s="3">
        <v>28.35</v>
      </c>
      <c r="N106" s="3">
        <v>59.99</v>
      </c>
      <c r="O106" s="2" t="s">
        <v>241</v>
      </c>
      <c r="P106" s="2" t="s">
        <v>215</v>
      </c>
      <c r="Q106" s="2" t="s">
        <v>97</v>
      </c>
      <c r="R106" s="2" t="s">
        <v>98</v>
      </c>
      <c r="S106" s="2" t="s">
        <v>461</v>
      </c>
      <c r="T106" s="2" t="s">
        <v>98</v>
      </c>
      <c r="U106" s="2" t="s">
        <v>100</v>
      </c>
      <c r="V106" s="2" t="s">
        <v>334</v>
      </c>
      <c r="W106" s="2" t="s">
        <v>335</v>
      </c>
      <c r="X106" s="2" t="s">
        <v>98</v>
      </c>
      <c r="Y106" s="2" t="s">
        <v>104</v>
      </c>
      <c r="Z106" s="4">
        <v>3</v>
      </c>
      <c r="AA106" s="4">
        <f>=ROUNDDOWN(0.0946372239747634,0)</f>
      </c>
      <c r="AB106" s="5">
        <v>31.7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13</v>
      </c>
      <c r="AQ106" s="8">
        <v>195</v>
      </c>
      <c r="AR106" s="4">
        <v>11</v>
      </c>
      <c r="AS106" s="8">
        <v>272.8</v>
      </c>
      <c r="AT106" s="7">
        <v>0.1818</v>
      </c>
      <c r="AU106" s="7">
        <v>-0.2852</v>
      </c>
      <c r="AV106" s="4">
        <v>13</v>
      </c>
      <c r="AW106" s="8">
        <v>195</v>
      </c>
      <c r="AX106" s="4">
        <v>11</v>
      </c>
      <c r="AY106" s="8">
        <v>272.8</v>
      </c>
      <c r="AZ106" s="7">
        <v>0.1818</v>
      </c>
      <c r="BA106" s="7">
        <v>-0.2852</v>
      </c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0.0346</v>
      </c>
      <c r="BJ106" s="4">
        <v>59</v>
      </c>
      <c r="BK106" s="8">
        <v>1444.86</v>
      </c>
      <c r="BL106" s="2" t="s">
        <v>462</v>
      </c>
      <c r="BM106" s="7">
        <v>0.2203</v>
      </c>
      <c r="BN106" s="7">
        <v>0.135</v>
      </c>
      <c r="BO106" s="4">
        <v>13</v>
      </c>
      <c r="BP106" s="8">
        <v>195</v>
      </c>
      <c r="BQ106" s="4">
        <v>11</v>
      </c>
      <c r="BR106" s="8">
        <v>272.8</v>
      </c>
      <c r="BS106" s="7">
        <v>0.1818</v>
      </c>
      <c r="BT106" s="7">
        <v>-0.2852</v>
      </c>
      <c r="BU106" s="2" t="s">
        <v>211</v>
      </c>
      <c r="BV106" s="2" t="s">
        <v>352</v>
      </c>
      <c r="BW106" s="2" t="s">
        <v>244</v>
      </c>
      <c r="BX106" s="2" t="s">
        <v>422</v>
      </c>
      <c r="BY106" s="2" t="s">
        <v>354</v>
      </c>
    </row>
    <row r="107">
      <c r="A107" s="2" t="s">
        <v>463</v>
      </c>
      <c r="B107" s="2" t="s">
        <v>86</v>
      </c>
      <c r="C107" s="2" t="s">
        <v>87</v>
      </c>
      <c r="D107" s="2" t="s">
        <v>88</v>
      </c>
      <c r="E107" s="2" t="s">
        <v>88</v>
      </c>
      <c r="F107" s="2" t="s">
        <v>327</v>
      </c>
      <c r="G107" s="2" t="s">
        <v>328</v>
      </c>
      <c r="H107" s="2" t="s">
        <v>329</v>
      </c>
      <c r="I107" s="2" t="s">
        <v>347</v>
      </c>
      <c r="J107" s="2" t="s">
        <v>348</v>
      </c>
      <c r="K107" s="2" t="s">
        <v>464</v>
      </c>
      <c r="L107" s="3">
        <v>27</v>
      </c>
      <c r="M107" s="3">
        <v>28.35</v>
      </c>
      <c r="N107" s="3">
        <v>59.99</v>
      </c>
      <c r="O107" s="2" t="s">
        <v>241</v>
      </c>
      <c r="P107" s="2" t="s">
        <v>465</v>
      </c>
      <c r="Q107" s="2" t="s">
        <v>97</v>
      </c>
      <c r="R107" s="2" t="s">
        <v>98</v>
      </c>
      <c r="S107" s="2" t="s">
        <v>420</v>
      </c>
      <c r="T107" s="2" t="s">
        <v>98</v>
      </c>
      <c r="U107" s="2" t="s">
        <v>100</v>
      </c>
      <c r="V107" s="2" t="s">
        <v>334</v>
      </c>
      <c r="W107" s="2" t="s">
        <v>335</v>
      </c>
      <c r="X107" s="2" t="s">
        <v>98</v>
      </c>
      <c r="Y107" s="2" t="s">
        <v>104</v>
      </c>
      <c r="Z107" s="4">
        <v>2</v>
      </c>
      <c r="AA107" s="4">
        <f>=ROUNDDOWN(0.740740740740741,0)</f>
      </c>
      <c r="AB107" s="5">
        <v>2.7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7</v>
      </c>
      <c r="AQ107" s="8">
        <v>168</v>
      </c>
      <c r="AR107" s="4">
        <v>8</v>
      </c>
      <c r="AS107" s="8">
        <v>198.4</v>
      </c>
      <c r="AT107" s="7">
        <v>-0.125</v>
      </c>
      <c r="AU107" s="7">
        <v>-0.1532</v>
      </c>
      <c r="AV107" s="4">
        <v>7</v>
      </c>
      <c r="AW107" s="8">
        <v>168</v>
      </c>
      <c r="AX107" s="4">
        <v>8</v>
      </c>
      <c r="AY107" s="8">
        <v>198.4</v>
      </c>
      <c r="AZ107" s="7">
        <v>-0.125</v>
      </c>
      <c r="BA107" s="7">
        <v>-0.1532</v>
      </c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0.0298</v>
      </c>
      <c r="BJ107" s="4">
        <v>35</v>
      </c>
      <c r="BK107" s="8">
        <v>960.26</v>
      </c>
      <c r="BL107" s="2" t="s">
        <v>466</v>
      </c>
      <c r="BM107" s="7">
        <v>0.2</v>
      </c>
      <c r="BN107" s="7">
        <v>0.175</v>
      </c>
      <c r="BO107" s="4">
        <v>7</v>
      </c>
      <c r="BP107" s="8">
        <v>168</v>
      </c>
      <c r="BQ107" s="4">
        <v>8</v>
      </c>
      <c r="BR107" s="8">
        <v>198.4</v>
      </c>
      <c r="BS107" s="7">
        <v>-0.125</v>
      </c>
      <c r="BT107" s="7">
        <v>-0.1532</v>
      </c>
      <c r="BU107" s="2" t="s">
        <v>211</v>
      </c>
      <c r="BV107" s="2" t="s">
        <v>352</v>
      </c>
      <c r="BW107" s="2" t="s">
        <v>244</v>
      </c>
      <c r="BX107" s="2" t="s">
        <v>443</v>
      </c>
      <c r="BY107" s="2" t="s">
        <v>354</v>
      </c>
    </row>
    <row r="108">
      <c r="A108" s="2" t="s">
        <v>467</v>
      </c>
      <c r="B108" s="2" t="s">
        <v>86</v>
      </c>
      <c r="C108" s="2" t="s">
        <v>87</v>
      </c>
      <c r="D108" s="2" t="s">
        <v>88</v>
      </c>
      <c r="E108" s="2" t="s">
        <v>88</v>
      </c>
      <c r="F108" s="2" t="s">
        <v>327</v>
      </c>
      <c r="G108" s="2" t="s">
        <v>328</v>
      </c>
      <c r="H108" s="2" t="s">
        <v>329</v>
      </c>
      <c r="I108" s="2" t="s">
        <v>330</v>
      </c>
      <c r="J108" s="2" t="s">
        <v>331</v>
      </c>
      <c r="K108" s="2" t="s">
        <v>468</v>
      </c>
      <c r="L108" s="3">
        <v>13.5</v>
      </c>
      <c r="M108" s="3">
        <v>14.18</v>
      </c>
      <c r="N108" s="3">
        <v>29.99</v>
      </c>
      <c r="O108" s="2" t="s">
        <v>95</v>
      </c>
      <c r="P108" s="2" t="s">
        <v>150</v>
      </c>
      <c r="Q108" s="2" t="s">
        <v>97</v>
      </c>
      <c r="R108" s="2" t="s">
        <v>98</v>
      </c>
      <c r="S108" s="2" t="s">
        <v>461</v>
      </c>
      <c r="T108" s="2" t="s">
        <v>98</v>
      </c>
      <c r="U108" s="2" t="s">
        <v>100</v>
      </c>
      <c r="V108" s="2" t="s">
        <v>334</v>
      </c>
      <c r="W108" s="2" t="s">
        <v>335</v>
      </c>
      <c r="X108" s="2" t="s">
        <v>372</v>
      </c>
      <c r="Y108" s="2" t="s">
        <v>104</v>
      </c>
      <c r="Z108" s="4">
        <v>693</v>
      </c>
      <c r="AA108" s="4">
        <f>=ROUNDDOWN(99,0)</f>
      </c>
      <c r="AB108" s="5">
        <v>7</v>
      </c>
      <c r="AC108" s="2" t="s">
        <v>98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6</v>
      </c>
      <c r="AS108" s="8">
        <v>71.46</v>
      </c>
      <c r="AT108" s="7">
        <v>-1</v>
      </c>
      <c r="AU108" s="7">
        <v>-1</v>
      </c>
      <c r="AV108" s="4">
        <v>7</v>
      </c>
      <c r="AW108" s="8">
        <v>127.5</v>
      </c>
      <c r="AX108" s="4">
        <v>52</v>
      </c>
      <c r="AY108" s="8">
        <v>820.37</v>
      </c>
      <c r="AZ108" s="7">
        <v>-0.8654</v>
      </c>
      <c r="BA108" s="7">
        <v>-0.8446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0.0226</v>
      </c>
      <c r="BJ108" s="4">
        <v>85</v>
      </c>
      <c r="BK108" s="8">
        <v>1093.89</v>
      </c>
      <c r="BL108" s="2" t="s">
        <v>469</v>
      </c>
      <c r="BM108" s="7"/>
      <c r="BN108" s="7"/>
      <c r="BO108" s="4"/>
      <c r="BP108" s="8"/>
      <c r="BQ108" s="4">
        <v>6</v>
      </c>
      <c r="BR108" s="8">
        <v>71.46</v>
      </c>
      <c r="BS108" s="7">
        <v>-1</v>
      </c>
      <c r="BT108" s="7">
        <v>-1</v>
      </c>
      <c r="BU108" s="2" t="s">
        <v>107</v>
      </c>
      <c r="BV108" s="2" t="s">
        <v>108</v>
      </c>
      <c r="BW108" s="2" t="s">
        <v>244</v>
      </c>
      <c r="BX108" s="2" t="s">
        <v>470</v>
      </c>
      <c r="BY108" s="2" t="s">
        <v>111</v>
      </c>
    </row>
    <row r="109">
      <c r="A109" s="2" t="s">
        <v>471</v>
      </c>
      <c r="B109" s="2" t="s">
        <v>86</v>
      </c>
      <c r="C109" s="2" t="s">
        <v>87</v>
      </c>
      <c r="D109" s="2" t="s">
        <v>88</v>
      </c>
      <c r="E109" s="2" t="s">
        <v>88</v>
      </c>
      <c r="F109" s="2" t="s">
        <v>327</v>
      </c>
      <c r="G109" s="2" t="s">
        <v>328</v>
      </c>
      <c r="H109" s="2" t="s">
        <v>329</v>
      </c>
      <c r="I109" s="2" t="s">
        <v>330</v>
      </c>
      <c r="J109" s="2" t="s">
        <v>93</v>
      </c>
      <c r="K109" s="2" t="s">
        <v>468</v>
      </c>
      <c r="L109" s="3">
        <v>15.75</v>
      </c>
      <c r="M109" s="3">
        <v>16.54</v>
      </c>
      <c r="N109" s="3">
        <v>34.99</v>
      </c>
      <c r="O109" s="2" t="s">
        <v>95</v>
      </c>
      <c r="P109" s="2" t="s">
        <v>150</v>
      </c>
      <c r="Q109" s="2" t="s">
        <v>97</v>
      </c>
      <c r="R109" s="2" t="s">
        <v>98</v>
      </c>
      <c r="S109" s="2" t="s">
        <v>461</v>
      </c>
      <c r="T109" s="2" t="s">
        <v>98</v>
      </c>
      <c r="U109" s="2" t="s">
        <v>100</v>
      </c>
      <c r="V109" s="2" t="s">
        <v>334</v>
      </c>
      <c r="W109" s="2" t="s">
        <v>335</v>
      </c>
      <c r="X109" s="2" t="s">
        <v>372</v>
      </c>
      <c r="Y109" s="2" t="s">
        <v>104</v>
      </c>
      <c r="Z109" s="4">
        <v>249</v>
      </c>
      <c r="AA109" s="4">
        <f>=ROUNDDOWN(13.8333333333333,0)</f>
      </c>
      <c r="AB109" s="5">
        <v>18</v>
      </c>
      <c r="AC109" s="2" t="s">
        <v>253</v>
      </c>
      <c r="AD109" s="4">
        <v>40</v>
      </c>
      <c r="AE109" s="4">
        <v>540</v>
      </c>
      <c r="AF109" s="6">
        <v>65</v>
      </c>
      <c r="AG109" s="6"/>
      <c r="AH109" s="7">
        <v>1</v>
      </c>
      <c r="AI109" s="4"/>
      <c r="AJ109" s="4">
        <f>=ROUNDDOWN({0},0)</f>
      </c>
      <c r="AK109" s="5">
        <v>0.4</v>
      </c>
      <c r="AL109" s="2" t="s">
        <v>98</v>
      </c>
      <c r="AM109" s="4"/>
      <c r="AN109" s="4"/>
      <c r="AO109" s="7">
        <v>0.8778</v>
      </c>
      <c r="AP109" s="4">
        <v>5</v>
      </c>
      <c r="AQ109" s="8">
        <v>87.5</v>
      </c>
      <c r="AR109" s="4">
        <v>7</v>
      </c>
      <c r="AS109" s="8">
        <v>100.73</v>
      </c>
      <c r="AT109" s="7">
        <v>-0.2857</v>
      </c>
      <c r="AU109" s="7">
        <v>-0.1313</v>
      </c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0.6863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211</v>
      </c>
      <c r="BK109" s="8">
        <v>3250.79</v>
      </c>
      <c r="BL109" s="2" t="s">
        <v>472</v>
      </c>
      <c r="BM109" s="7">
        <v>0.0237</v>
      </c>
      <c r="BN109" s="7">
        <v>0.0269</v>
      </c>
      <c r="BO109" s="4">
        <v>5</v>
      </c>
      <c r="BP109" s="8">
        <v>87.5</v>
      </c>
      <c r="BQ109" s="4">
        <v>7</v>
      </c>
      <c r="BR109" s="8">
        <v>100.73</v>
      </c>
      <c r="BS109" s="7">
        <v>-0.2857</v>
      </c>
      <c r="BT109" s="7">
        <v>-0.1313</v>
      </c>
      <c r="BU109" s="2" t="s">
        <v>107</v>
      </c>
      <c r="BV109" s="2" t="s">
        <v>108</v>
      </c>
      <c r="BW109" s="2" t="s">
        <v>244</v>
      </c>
      <c r="BX109" s="2" t="s">
        <v>353</v>
      </c>
      <c r="BY109" s="2" t="s">
        <v>111</v>
      </c>
    </row>
    <row r="110">
      <c r="A110" s="2" t="s">
        <v>473</v>
      </c>
      <c r="B110" s="2" t="s">
        <v>86</v>
      </c>
      <c r="C110" s="2" t="s">
        <v>87</v>
      </c>
      <c r="D110" s="2" t="s">
        <v>88</v>
      </c>
      <c r="E110" s="2" t="s">
        <v>88</v>
      </c>
      <c r="F110" s="2" t="s">
        <v>327</v>
      </c>
      <c r="G110" s="2" t="s">
        <v>328</v>
      </c>
      <c r="H110" s="2" t="s">
        <v>329</v>
      </c>
      <c r="I110" s="2" t="s">
        <v>330</v>
      </c>
      <c r="J110" s="2" t="s">
        <v>113</v>
      </c>
      <c r="K110" s="2" t="s">
        <v>468</v>
      </c>
      <c r="L110" s="3">
        <v>18.4</v>
      </c>
      <c r="M110" s="3">
        <v>19.32</v>
      </c>
      <c r="N110" s="3">
        <v>39.99</v>
      </c>
      <c r="O110" s="2" t="s">
        <v>95</v>
      </c>
      <c r="P110" s="2" t="s">
        <v>150</v>
      </c>
      <c r="Q110" s="2" t="s">
        <v>97</v>
      </c>
      <c r="R110" s="2" t="s">
        <v>98</v>
      </c>
      <c r="S110" s="2" t="s">
        <v>461</v>
      </c>
      <c r="T110" s="2" t="s">
        <v>98</v>
      </c>
      <c r="U110" s="2" t="s">
        <v>100</v>
      </c>
      <c r="V110" s="2" t="s">
        <v>334</v>
      </c>
      <c r="W110" s="2" t="s">
        <v>335</v>
      </c>
      <c r="X110" s="2" t="s">
        <v>372</v>
      </c>
      <c r="Y110" s="2" t="s">
        <v>104</v>
      </c>
      <c r="Z110" s="4">
        <v>118</v>
      </c>
      <c r="AA110" s="4">
        <f>=ROUNDDOWN(19.6666666666667,0)</f>
      </c>
      <c r="AB110" s="5">
        <v>6</v>
      </c>
      <c r="AC110" s="2" t="s">
        <v>253</v>
      </c>
      <c r="AD110" s="4">
        <v>168</v>
      </c>
      <c r="AE110" s="4">
        <v>168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40</v>
      </c>
      <c r="AR110" s="4">
        <v>39</v>
      </c>
      <c r="AS110" s="8">
        <v>648.18</v>
      </c>
      <c r="AT110" s="7">
        <v>-0.9487</v>
      </c>
      <c r="AU110" s="7">
        <v>-0.9383</v>
      </c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0.3137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72</v>
      </c>
      <c r="BK110" s="8">
        <v>1353.29</v>
      </c>
      <c r="BL110" s="2" t="s">
        <v>474</v>
      </c>
      <c r="BM110" s="7">
        <v>0.0278</v>
      </c>
      <c r="BN110" s="7">
        <v>0.0296</v>
      </c>
      <c r="BO110" s="4">
        <v>2</v>
      </c>
      <c r="BP110" s="8">
        <v>40</v>
      </c>
      <c r="BQ110" s="4">
        <v>39</v>
      </c>
      <c r="BR110" s="8">
        <v>648.18</v>
      </c>
      <c r="BS110" s="7">
        <v>-0.9487</v>
      </c>
      <c r="BT110" s="7">
        <v>-0.9383</v>
      </c>
      <c r="BU110" s="2" t="s">
        <v>107</v>
      </c>
      <c r="BV110" s="2" t="s">
        <v>108</v>
      </c>
      <c r="BW110" s="2" t="s">
        <v>244</v>
      </c>
      <c r="BX110" s="2" t="s">
        <v>475</v>
      </c>
      <c r="BY110" s="2" t="s">
        <v>111</v>
      </c>
    </row>
    <row r="111">
      <c r="A111" s="2" t="s">
        <v>476</v>
      </c>
      <c r="B111" s="2" t="s">
        <v>86</v>
      </c>
      <c r="C111" s="2" t="s">
        <v>87</v>
      </c>
      <c r="D111" s="2" t="s">
        <v>88</v>
      </c>
      <c r="E111" s="2" t="s">
        <v>88</v>
      </c>
      <c r="F111" s="2" t="s">
        <v>477</v>
      </c>
      <c r="G111" s="2" t="s">
        <v>478</v>
      </c>
      <c r="H111" s="2" t="s">
        <v>479</v>
      </c>
      <c r="I111" s="2" t="s">
        <v>480</v>
      </c>
      <c r="J111" s="2" t="s">
        <v>93</v>
      </c>
      <c r="K111" s="2" t="s">
        <v>464</v>
      </c>
      <c r="L111" s="3">
        <v>16.65</v>
      </c>
      <c r="M111" s="3">
        <v>17.48</v>
      </c>
      <c r="N111" s="3">
        <v>36.99</v>
      </c>
      <c r="O111" s="2" t="s">
        <v>95</v>
      </c>
      <c r="P111" s="2" t="s">
        <v>129</v>
      </c>
      <c r="Q111" s="2" t="s">
        <v>97</v>
      </c>
      <c r="R111" s="2" t="s">
        <v>98</v>
      </c>
      <c r="S111" s="2" t="s">
        <v>481</v>
      </c>
      <c r="T111" s="2" t="s">
        <v>98</v>
      </c>
      <c r="U111" s="2" t="s">
        <v>98</v>
      </c>
      <c r="V111" s="2" t="s">
        <v>482</v>
      </c>
      <c r="W111" s="2" t="s">
        <v>102</v>
      </c>
      <c r="X111" s="2" t="s">
        <v>372</v>
      </c>
      <c r="Y111" s="2" t="s">
        <v>104</v>
      </c>
      <c r="Z111" s="4">
        <v>177</v>
      </c>
      <c r="AA111" s="4">
        <f>=ROUNDDOWN(10.4117647058824,0)</f>
      </c>
      <c r="AB111" s="5">
        <v>17</v>
      </c>
      <c r="AC111" s="2" t="s">
        <v>224</v>
      </c>
      <c r="AD111" s="4">
        <v>140</v>
      </c>
      <c r="AE111" s="4">
        <v>382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28</v>
      </c>
      <c r="AQ111" s="8">
        <v>518</v>
      </c>
      <c r="AR111" s="4">
        <v>85</v>
      </c>
      <c r="AS111" s="8">
        <v>1325.15</v>
      </c>
      <c r="AT111" s="7">
        <v>-0.6706</v>
      </c>
      <c r="AU111" s="7">
        <v>-0.6091</v>
      </c>
      <c r="AV111" s="4">
        <v>58</v>
      </c>
      <c r="AW111" s="8">
        <v>1163</v>
      </c>
      <c r="AX111" s="4">
        <v>173</v>
      </c>
      <c r="AY111" s="8">
        <v>2925.87</v>
      </c>
      <c r="AZ111" s="7">
        <v>-0.6647</v>
      </c>
      <c r="BA111" s="7">
        <v>-0.6025</v>
      </c>
      <c r="BB111" s="7">
        <v>0.4454</v>
      </c>
      <c r="BC111" s="4">
        <v>274</v>
      </c>
      <c r="BD111" s="8">
        <v>5360</v>
      </c>
      <c r="BE111" s="4">
        <v>1085</v>
      </c>
      <c r="BF111" s="8">
        <v>17814.75</v>
      </c>
      <c r="BG111" s="7">
        <v>-0.7475</v>
      </c>
      <c r="BH111" s="7">
        <v>-0.6991</v>
      </c>
      <c r="BI111" s="7">
        <v>0.217</v>
      </c>
      <c r="BJ111" s="4">
        <v>310</v>
      </c>
      <c r="BK111" s="8">
        <v>5395.16</v>
      </c>
      <c r="BL111" s="2" t="s">
        <v>483</v>
      </c>
      <c r="BM111" s="7">
        <v>0.0903</v>
      </c>
      <c r="BN111" s="7">
        <v>0.096</v>
      </c>
      <c r="BO111" s="4">
        <v>28</v>
      </c>
      <c r="BP111" s="8">
        <v>518</v>
      </c>
      <c r="BQ111" s="4">
        <v>85</v>
      </c>
      <c r="BR111" s="8">
        <v>1325.15</v>
      </c>
      <c r="BS111" s="7">
        <v>-0.6706</v>
      </c>
      <c r="BT111" s="7">
        <v>-0.6091</v>
      </c>
      <c r="BU111" s="2" t="s">
        <v>107</v>
      </c>
      <c r="BV111" s="2" t="s">
        <v>108</v>
      </c>
      <c r="BW111" s="2" t="s">
        <v>109</v>
      </c>
      <c r="BX111" s="2" t="s">
        <v>237</v>
      </c>
      <c r="BY111" s="2" t="s">
        <v>111</v>
      </c>
    </row>
    <row r="112">
      <c r="A112" s="2" t="s">
        <v>484</v>
      </c>
      <c r="B112" s="2" t="s">
        <v>86</v>
      </c>
      <c r="C112" s="2" t="s">
        <v>87</v>
      </c>
      <c r="D112" s="2" t="s">
        <v>88</v>
      </c>
      <c r="E112" s="2" t="s">
        <v>88</v>
      </c>
      <c r="F112" s="2" t="s">
        <v>477</v>
      </c>
      <c r="G112" s="2" t="s">
        <v>478</v>
      </c>
      <c r="H112" s="2" t="s">
        <v>479</v>
      </c>
      <c r="I112" s="2" t="s">
        <v>480</v>
      </c>
      <c r="J112" s="2" t="s">
        <v>113</v>
      </c>
      <c r="K112" s="2" t="s">
        <v>464</v>
      </c>
      <c r="L112" s="3">
        <v>19.35</v>
      </c>
      <c r="M112" s="3">
        <v>20.32</v>
      </c>
      <c r="N112" s="3">
        <v>42.99</v>
      </c>
      <c r="O112" s="2" t="s">
        <v>95</v>
      </c>
      <c r="P112" s="2" t="s">
        <v>150</v>
      </c>
      <c r="Q112" s="2" t="s">
        <v>97</v>
      </c>
      <c r="R112" s="2" t="s">
        <v>98</v>
      </c>
      <c r="S112" s="2" t="s">
        <v>481</v>
      </c>
      <c r="T112" s="2" t="s">
        <v>98</v>
      </c>
      <c r="U112" s="2" t="s">
        <v>98</v>
      </c>
      <c r="V112" s="2" t="s">
        <v>482</v>
      </c>
      <c r="W112" s="2" t="s">
        <v>102</v>
      </c>
      <c r="X112" s="2" t="s">
        <v>372</v>
      </c>
      <c r="Y112" s="2" t="s">
        <v>104</v>
      </c>
      <c r="Z112" s="4">
        <v>170</v>
      </c>
      <c r="AA112" s="4">
        <f>=ROUNDDOWN(34,0)</f>
      </c>
      <c r="AB112" s="5">
        <v>5</v>
      </c>
      <c r="AC112" s="2" t="s">
        <v>373</v>
      </c>
      <c r="AD112" s="4">
        <v>36</v>
      </c>
      <c r="AE112" s="4">
        <v>36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30</v>
      </c>
      <c r="AQ112" s="8">
        <v>645</v>
      </c>
      <c r="AR112" s="4">
        <v>88</v>
      </c>
      <c r="AS112" s="8">
        <v>1600.72</v>
      </c>
      <c r="AT112" s="7">
        <v>-0.6591</v>
      </c>
      <c r="AU112" s="7">
        <v>-0.5971</v>
      </c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0.5546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174</v>
      </c>
      <c r="BK112" s="8">
        <v>3570.15</v>
      </c>
      <c r="BL112" s="2" t="s">
        <v>485</v>
      </c>
      <c r="BM112" s="7">
        <v>0.1724</v>
      </c>
      <c r="BN112" s="7">
        <v>0.1807</v>
      </c>
      <c r="BO112" s="4">
        <v>30</v>
      </c>
      <c r="BP112" s="8">
        <v>645</v>
      </c>
      <c r="BQ112" s="4">
        <v>88</v>
      </c>
      <c r="BR112" s="8">
        <v>1600.72</v>
      </c>
      <c r="BS112" s="7">
        <v>-0.6591</v>
      </c>
      <c r="BT112" s="7">
        <v>-0.5971</v>
      </c>
      <c r="BU112" s="2" t="s">
        <v>107</v>
      </c>
      <c r="BV112" s="2" t="s">
        <v>108</v>
      </c>
      <c r="BW112" s="2" t="s">
        <v>109</v>
      </c>
      <c r="BX112" s="2" t="s">
        <v>486</v>
      </c>
      <c r="BY112" s="2" t="s">
        <v>111</v>
      </c>
    </row>
    <row r="113">
      <c r="A113" s="2" t="s">
        <v>487</v>
      </c>
      <c r="B113" s="2" t="s">
        <v>86</v>
      </c>
      <c r="C113" s="2" t="s">
        <v>87</v>
      </c>
      <c r="D113" s="2" t="s">
        <v>88</v>
      </c>
      <c r="E113" s="2" t="s">
        <v>88</v>
      </c>
      <c r="F113" s="2" t="s">
        <v>477</v>
      </c>
      <c r="G113" s="2" t="s">
        <v>478</v>
      </c>
      <c r="H113" s="2" t="s">
        <v>479</v>
      </c>
      <c r="I113" s="2" t="s">
        <v>480</v>
      </c>
      <c r="J113" s="2" t="s">
        <v>93</v>
      </c>
      <c r="K113" s="2" t="s">
        <v>94</v>
      </c>
      <c r="L113" s="3">
        <v>16.65</v>
      </c>
      <c r="M113" s="3">
        <v>17.48</v>
      </c>
      <c r="N113" s="3">
        <v>36.99</v>
      </c>
      <c r="O113" s="2" t="s">
        <v>95</v>
      </c>
      <c r="P113" s="2" t="s">
        <v>129</v>
      </c>
      <c r="Q113" s="2" t="s">
        <v>97</v>
      </c>
      <c r="R113" s="2" t="s">
        <v>98</v>
      </c>
      <c r="S113" s="2" t="s">
        <v>488</v>
      </c>
      <c r="T113" s="2" t="s">
        <v>98</v>
      </c>
      <c r="U113" s="2" t="s">
        <v>98</v>
      </c>
      <c r="V113" s="2" t="s">
        <v>482</v>
      </c>
      <c r="W113" s="2" t="s">
        <v>102</v>
      </c>
      <c r="X113" s="2" t="s">
        <v>372</v>
      </c>
      <c r="Y113" s="2" t="s">
        <v>104</v>
      </c>
      <c r="Z113" s="4">
        <v>238</v>
      </c>
      <c r="AA113" s="4">
        <f>=ROUNDDOWN(11.9,0)</f>
      </c>
      <c r="AB113" s="5">
        <v>20</v>
      </c>
      <c r="AC113" s="2" t="s">
        <v>489</v>
      </c>
      <c r="AD113" s="4">
        <v>232</v>
      </c>
      <c r="AE113" s="4">
        <v>468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43</v>
      </c>
      <c r="AQ113" s="8">
        <v>795.5</v>
      </c>
      <c r="AR113" s="4">
        <v>190</v>
      </c>
      <c r="AS113" s="8">
        <v>2962.1</v>
      </c>
      <c r="AT113" s="7">
        <v>-0.7737</v>
      </c>
      <c r="AU113" s="7">
        <v>-0.7314</v>
      </c>
      <c r="AV113" s="4">
        <v>58</v>
      </c>
      <c r="AW113" s="8">
        <v>1118</v>
      </c>
      <c r="AX113" s="4">
        <v>257</v>
      </c>
      <c r="AY113" s="8">
        <v>4180.83</v>
      </c>
      <c r="AZ113" s="7">
        <v>-0.7743</v>
      </c>
      <c r="BA113" s="7">
        <v>-0.7326</v>
      </c>
      <c r="BB113" s="7">
        <v>0.7115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0.2086</v>
      </c>
      <c r="BJ113" s="4">
        <v>314</v>
      </c>
      <c r="BK113" s="8">
        <v>5391.11</v>
      </c>
      <c r="BL113" s="2" t="s">
        <v>490</v>
      </c>
      <c r="BM113" s="7">
        <v>0.1369</v>
      </c>
      <c r="BN113" s="7">
        <v>0.1476</v>
      </c>
      <c r="BO113" s="4">
        <v>43</v>
      </c>
      <c r="BP113" s="8">
        <v>795.5</v>
      </c>
      <c r="BQ113" s="4">
        <v>190</v>
      </c>
      <c r="BR113" s="8">
        <v>2962.1</v>
      </c>
      <c r="BS113" s="7">
        <v>-0.7737</v>
      </c>
      <c r="BT113" s="7">
        <v>-0.7314</v>
      </c>
      <c r="BU113" s="2" t="s">
        <v>107</v>
      </c>
      <c r="BV113" s="2" t="s">
        <v>108</v>
      </c>
      <c r="BW113" s="2" t="s">
        <v>109</v>
      </c>
      <c r="BX113" s="2" t="s">
        <v>274</v>
      </c>
      <c r="BY113" s="2" t="s">
        <v>111</v>
      </c>
    </row>
    <row r="114">
      <c r="A114" s="2" t="s">
        <v>491</v>
      </c>
      <c r="B114" s="2" t="s">
        <v>86</v>
      </c>
      <c r="C114" s="2" t="s">
        <v>87</v>
      </c>
      <c r="D114" s="2" t="s">
        <v>88</v>
      </c>
      <c r="E114" s="2" t="s">
        <v>88</v>
      </c>
      <c r="F114" s="2" t="s">
        <v>477</v>
      </c>
      <c r="G114" s="2" t="s">
        <v>478</v>
      </c>
      <c r="H114" s="2" t="s">
        <v>479</v>
      </c>
      <c r="I114" s="2" t="s">
        <v>480</v>
      </c>
      <c r="J114" s="2" t="s">
        <v>113</v>
      </c>
      <c r="K114" s="2" t="s">
        <v>94</v>
      </c>
      <c r="L114" s="3">
        <v>19.35</v>
      </c>
      <c r="M114" s="3">
        <v>20.32</v>
      </c>
      <c r="N114" s="3">
        <v>42.99</v>
      </c>
      <c r="O114" s="2" t="s">
        <v>95</v>
      </c>
      <c r="P114" s="2" t="s">
        <v>129</v>
      </c>
      <c r="Q114" s="2" t="s">
        <v>97</v>
      </c>
      <c r="R114" s="2" t="s">
        <v>98</v>
      </c>
      <c r="S114" s="2" t="s">
        <v>488</v>
      </c>
      <c r="T114" s="2" t="s">
        <v>98</v>
      </c>
      <c r="U114" s="2" t="s">
        <v>98</v>
      </c>
      <c r="V114" s="2" t="s">
        <v>482</v>
      </c>
      <c r="W114" s="2" t="s">
        <v>102</v>
      </c>
      <c r="X114" s="2" t="s">
        <v>372</v>
      </c>
      <c r="Y114" s="2" t="s">
        <v>104</v>
      </c>
      <c r="Z114" s="4">
        <v>71</v>
      </c>
      <c r="AA114" s="4">
        <f>=ROUNDDOWN(5.07142857142857,0)</f>
      </c>
      <c r="AB114" s="5">
        <v>14</v>
      </c>
      <c r="AC114" s="2" t="s">
        <v>489</v>
      </c>
      <c r="AD114" s="4">
        <v>256</v>
      </c>
      <c r="AE114" s="4">
        <v>448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15</v>
      </c>
      <c r="AQ114" s="8">
        <v>322.5</v>
      </c>
      <c r="AR114" s="4">
        <v>67</v>
      </c>
      <c r="AS114" s="8">
        <v>1218.73</v>
      </c>
      <c r="AT114" s="7">
        <v>-0.7761</v>
      </c>
      <c r="AU114" s="7">
        <v>-0.7354</v>
      </c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0.2885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 t="s">
        <v>98</v>
      </c>
      <c r="BJ114" s="4">
        <v>110</v>
      </c>
      <c r="BK114" s="8">
        <v>2170.63</v>
      </c>
      <c r="BL114" s="2" t="s">
        <v>492</v>
      </c>
      <c r="BM114" s="7">
        <v>0.1364</v>
      </c>
      <c r="BN114" s="7">
        <v>0.1486</v>
      </c>
      <c r="BO114" s="4">
        <v>15</v>
      </c>
      <c r="BP114" s="8">
        <v>322.5</v>
      </c>
      <c r="BQ114" s="4">
        <v>67</v>
      </c>
      <c r="BR114" s="8">
        <v>1218.73</v>
      </c>
      <c r="BS114" s="7">
        <v>-0.7761</v>
      </c>
      <c r="BT114" s="7">
        <v>-0.7354</v>
      </c>
      <c r="BU114" s="2" t="s">
        <v>107</v>
      </c>
      <c r="BV114" s="2" t="s">
        <v>108</v>
      </c>
      <c r="BW114" s="2" t="s">
        <v>109</v>
      </c>
      <c r="BX114" s="2" t="s">
        <v>184</v>
      </c>
      <c r="BY114" s="2" t="s">
        <v>111</v>
      </c>
    </row>
    <row r="115">
      <c r="A115" s="2" t="s">
        <v>493</v>
      </c>
      <c r="B115" s="2" t="s">
        <v>86</v>
      </c>
      <c r="C115" s="2" t="s">
        <v>87</v>
      </c>
      <c r="D115" s="2" t="s">
        <v>88</v>
      </c>
      <c r="E115" s="2" t="s">
        <v>88</v>
      </c>
      <c r="F115" s="2" t="s">
        <v>477</v>
      </c>
      <c r="G115" s="2" t="s">
        <v>478</v>
      </c>
      <c r="H115" s="2" t="s">
        <v>479</v>
      </c>
      <c r="I115" s="2" t="s">
        <v>480</v>
      </c>
      <c r="J115" s="2" t="s">
        <v>93</v>
      </c>
      <c r="K115" s="2" t="s">
        <v>299</v>
      </c>
      <c r="L115" s="3">
        <v>16.65</v>
      </c>
      <c r="M115" s="3">
        <v>17.48</v>
      </c>
      <c r="N115" s="3">
        <v>36.99</v>
      </c>
      <c r="O115" s="2" t="s">
        <v>95</v>
      </c>
      <c r="P115" s="2" t="s">
        <v>150</v>
      </c>
      <c r="Q115" s="2" t="s">
        <v>97</v>
      </c>
      <c r="R115" s="2" t="s">
        <v>98</v>
      </c>
      <c r="S115" s="2" t="s">
        <v>494</v>
      </c>
      <c r="T115" s="2" t="s">
        <v>98</v>
      </c>
      <c r="U115" s="2" t="s">
        <v>98</v>
      </c>
      <c r="V115" s="2" t="s">
        <v>482</v>
      </c>
      <c r="W115" s="2" t="s">
        <v>102</v>
      </c>
      <c r="X115" s="2" t="s">
        <v>372</v>
      </c>
      <c r="Y115" s="2" t="s">
        <v>104</v>
      </c>
      <c r="Z115" s="4">
        <v>184</v>
      </c>
      <c r="AA115" s="4">
        <f>=ROUNDDOWN(14.1538461538462,0)</f>
      </c>
      <c r="AB115" s="5">
        <v>13</v>
      </c>
      <c r="AC115" s="2" t="s">
        <v>373</v>
      </c>
      <c r="AD115" s="4">
        <v>160</v>
      </c>
      <c r="AE115" s="4">
        <v>232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42</v>
      </c>
      <c r="AQ115" s="8">
        <v>777</v>
      </c>
      <c r="AR115" s="4">
        <v>118</v>
      </c>
      <c r="AS115" s="8">
        <v>1839.62</v>
      </c>
      <c r="AT115" s="7">
        <v>-0.6441</v>
      </c>
      <c r="AU115" s="7">
        <v>-0.5776</v>
      </c>
      <c r="AV115" s="4">
        <v>53</v>
      </c>
      <c r="AW115" s="8">
        <v>1013.5</v>
      </c>
      <c r="AX115" s="4">
        <v>155</v>
      </c>
      <c r="AY115" s="8">
        <v>2512.65</v>
      </c>
      <c r="AZ115" s="7">
        <v>-0.6581</v>
      </c>
      <c r="BA115" s="7">
        <v>-0.5966</v>
      </c>
      <c r="BB115" s="7">
        <v>0.7667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0.1891</v>
      </c>
      <c r="BJ115" s="4">
        <v>275</v>
      </c>
      <c r="BK115" s="8">
        <v>4579.12</v>
      </c>
      <c r="BL115" s="2" t="s">
        <v>495</v>
      </c>
      <c r="BM115" s="7">
        <v>0.1527</v>
      </c>
      <c r="BN115" s="7">
        <v>0.1697</v>
      </c>
      <c r="BO115" s="4">
        <v>42</v>
      </c>
      <c r="BP115" s="8">
        <v>777</v>
      </c>
      <c r="BQ115" s="4">
        <v>118</v>
      </c>
      <c r="BR115" s="8">
        <v>1839.62</v>
      </c>
      <c r="BS115" s="7">
        <v>-0.6441</v>
      </c>
      <c r="BT115" s="7">
        <v>-0.5776</v>
      </c>
      <c r="BU115" s="2" t="s">
        <v>107</v>
      </c>
      <c r="BV115" s="2" t="s">
        <v>108</v>
      </c>
      <c r="BW115" s="2" t="s">
        <v>109</v>
      </c>
      <c r="BX115" s="2" t="s">
        <v>142</v>
      </c>
      <c r="BY115" s="2" t="s">
        <v>111</v>
      </c>
    </row>
    <row r="116">
      <c r="A116" s="2" t="s">
        <v>496</v>
      </c>
      <c r="B116" s="2" t="s">
        <v>86</v>
      </c>
      <c r="C116" s="2" t="s">
        <v>87</v>
      </c>
      <c r="D116" s="2" t="s">
        <v>88</v>
      </c>
      <c r="E116" s="2" t="s">
        <v>88</v>
      </c>
      <c r="F116" s="2" t="s">
        <v>477</v>
      </c>
      <c r="G116" s="2" t="s">
        <v>478</v>
      </c>
      <c r="H116" s="2" t="s">
        <v>479</v>
      </c>
      <c r="I116" s="2" t="s">
        <v>480</v>
      </c>
      <c r="J116" s="2" t="s">
        <v>113</v>
      </c>
      <c r="K116" s="2" t="s">
        <v>299</v>
      </c>
      <c r="L116" s="3">
        <v>19.35</v>
      </c>
      <c r="M116" s="3">
        <v>20.32</v>
      </c>
      <c r="N116" s="3">
        <v>42.99</v>
      </c>
      <c r="O116" s="2" t="s">
        <v>95</v>
      </c>
      <c r="P116" s="2" t="s">
        <v>150</v>
      </c>
      <c r="Q116" s="2" t="s">
        <v>97</v>
      </c>
      <c r="R116" s="2" t="s">
        <v>98</v>
      </c>
      <c r="S116" s="2" t="s">
        <v>494</v>
      </c>
      <c r="T116" s="2" t="s">
        <v>98</v>
      </c>
      <c r="U116" s="2" t="s">
        <v>98</v>
      </c>
      <c r="V116" s="2" t="s">
        <v>482</v>
      </c>
      <c r="W116" s="2" t="s">
        <v>102</v>
      </c>
      <c r="X116" s="2" t="s">
        <v>372</v>
      </c>
      <c r="Y116" s="2" t="s">
        <v>104</v>
      </c>
      <c r="Z116" s="4">
        <v>1</v>
      </c>
      <c r="AA116" s="4">
        <f>=ROUNDDOWN(0.142857142857143,0)</f>
      </c>
      <c r="AB116" s="5">
        <v>7</v>
      </c>
      <c r="AC116" s="2" t="s">
        <v>224</v>
      </c>
      <c r="AD116" s="4">
        <v>64</v>
      </c>
      <c r="AE116" s="4">
        <v>188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11</v>
      </c>
      <c r="AQ116" s="8">
        <v>236.5</v>
      </c>
      <c r="AR116" s="4">
        <v>37</v>
      </c>
      <c r="AS116" s="8">
        <v>673.03</v>
      </c>
      <c r="AT116" s="7">
        <v>-0.7027</v>
      </c>
      <c r="AU116" s="7">
        <v>-0.6486</v>
      </c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0.2333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130</v>
      </c>
      <c r="BK116" s="8">
        <v>2626.12</v>
      </c>
      <c r="BL116" s="2" t="s">
        <v>497</v>
      </c>
      <c r="BM116" s="7">
        <v>0.0846</v>
      </c>
      <c r="BN116" s="7">
        <v>0.0901</v>
      </c>
      <c r="BO116" s="4">
        <v>11</v>
      </c>
      <c r="BP116" s="8">
        <v>236.5</v>
      </c>
      <c r="BQ116" s="4">
        <v>37</v>
      </c>
      <c r="BR116" s="8">
        <v>673.03</v>
      </c>
      <c r="BS116" s="7">
        <v>-0.7027</v>
      </c>
      <c r="BT116" s="7">
        <v>-0.6486</v>
      </c>
      <c r="BU116" s="2" t="s">
        <v>107</v>
      </c>
      <c r="BV116" s="2" t="s">
        <v>108</v>
      </c>
      <c r="BW116" s="2" t="s">
        <v>109</v>
      </c>
      <c r="BX116" s="2" t="s">
        <v>139</v>
      </c>
      <c r="BY116" s="2" t="s">
        <v>111</v>
      </c>
    </row>
    <row r="117">
      <c r="A117" s="2" t="s">
        <v>498</v>
      </c>
      <c r="B117" s="2" t="s">
        <v>86</v>
      </c>
      <c r="C117" s="2" t="s">
        <v>87</v>
      </c>
      <c r="D117" s="2" t="s">
        <v>88</v>
      </c>
      <c r="E117" s="2" t="s">
        <v>88</v>
      </c>
      <c r="F117" s="2" t="s">
        <v>477</v>
      </c>
      <c r="G117" s="2" t="s">
        <v>478</v>
      </c>
      <c r="H117" s="2" t="s">
        <v>479</v>
      </c>
      <c r="I117" s="2" t="s">
        <v>480</v>
      </c>
      <c r="J117" s="2" t="s">
        <v>93</v>
      </c>
      <c r="K117" s="2" t="s">
        <v>458</v>
      </c>
      <c r="L117" s="3">
        <v>16.65</v>
      </c>
      <c r="M117" s="3">
        <v>17.48</v>
      </c>
      <c r="N117" s="3">
        <v>36.99</v>
      </c>
      <c r="O117" s="2" t="s">
        <v>95</v>
      </c>
      <c r="P117" s="2" t="s">
        <v>150</v>
      </c>
      <c r="Q117" s="2" t="s">
        <v>97</v>
      </c>
      <c r="R117" s="2" t="s">
        <v>98</v>
      </c>
      <c r="S117" s="2" t="s">
        <v>499</v>
      </c>
      <c r="T117" s="2" t="s">
        <v>98</v>
      </c>
      <c r="U117" s="2" t="s">
        <v>98</v>
      </c>
      <c r="V117" s="2" t="s">
        <v>482</v>
      </c>
      <c r="W117" s="2" t="s">
        <v>102</v>
      </c>
      <c r="X117" s="2" t="s">
        <v>372</v>
      </c>
      <c r="Y117" s="2" t="s">
        <v>104</v>
      </c>
      <c r="Z117" s="4">
        <v>266</v>
      </c>
      <c r="AA117" s="4">
        <f>=ROUNDDOWN(24.1818181818182,0)</f>
      </c>
      <c r="AB117" s="5">
        <v>11</v>
      </c>
      <c r="AC117" s="2" t="s">
        <v>309</v>
      </c>
      <c r="AD117" s="4">
        <v>52</v>
      </c>
      <c r="AE117" s="4">
        <v>52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36</v>
      </c>
      <c r="AQ117" s="8">
        <v>666</v>
      </c>
      <c r="AR117" s="4">
        <v>163</v>
      </c>
      <c r="AS117" s="8">
        <v>2541.17</v>
      </c>
      <c r="AT117" s="7">
        <v>-0.7791</v>
      </c>
      <c r="AU117" s="7">
        <v>-0.7379</v>
      </c>
      <c r="AV117" s="4">
        <v>48</v>
      </c>
      <c r="AW117" s="8">
        <v>924</v>
      </c>
      <c r="AX117" s="4">
        <v>251</v>
      </c>
      <c r="AY117" s="8">
        <v>4141.89</v>
      </c>
      <c r="AZ117" s="7">
        <v>-0.8088</v>
      </c>
      <c r="BA117" s="7">
        <v>-0.7769</v>
      </c>
      <c r="BB117" s="7">
        <v>0.7208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0.1724</v>
      </c>
      <c r="BJ117" s="4">
        <v>159</v>
      </c>
      <c r="BK117" s="8">
        <v>2693.22</v>
      </c>
      <c r="BL117" s="2" t="s">
        <v>500</v>
      </c>
      <c r="BM117" s="7">
        <v>0.2264</v>
      </c>
      <c r="BN117" s="7">
        <v>0.2473</v>
      </c>
      <c r="BO117" s="4">
        <v>36</v>
      </c>
      <c r="BP117" s="8">
        <v>666</v>
      </c>
      <c r="BQ117" s="4">
        <v>163</v>
      </c>
      <c r="BR117" s="8">
        <v>2541.17</v>
      </c>
      <c r="BS117" s="7">
        <v>-0.7791</v>
      </c>
      <c r="BT117" s="7">
        <v>-0.7379</v>
      </c>
      <c r="BU117" s="2" t="s">
        <v>107</v>
      </c>
      <c r="BV117" s="2" t="s">
        <v>108</v>
      </c>
      <c r="BW117" s="2" t="s">
        <v>109</v>
      </c>
      <c r="BX117" s="2" t="s">
        <v>184</v>
      </c>
      <c r="BY117" s="2" t="s">
        <v>111</v>
      </c>
    </row>
    <row r="118">
      <c r="A118" s="2" t="s">
        <v>501</v>
      </c>
      <c r="B118" s="2" t="s">
        <v>86</v>
      </c>
      <c r="C118" s="2" t="s">
        <v>87</v>
      </c>
      <c r="D118" s="2" t="s">
        <v>88</v>
      </c>
      <c r="E118" s="2" t="s">
        <v>88</v>
      </c>
      <c r="F118" s="2" t="s">
        <v>477</v>
      </c>
      <c r="G118" s="2" t="s">
        <v>478</v>
      </c>
      <c r="H118" s="2" t="s">
        <v>479</v>
      </c>
      <c r="I118" s="2" t="s">
        <v>480</v>
      </c>
      <c r="J118" s="2" t="s">
        <v>113</v>
      </c>
      <c r="K118" s="2" t="s">
        <v>458</v>
      </c>
      <c r="L118" s="3">
        <v>19.35</v>
      </c>
      <c r="M118" s="3">
        <v>20.32</v>
      </c>
      <c r="N118" s="3">
        <v>42.99</v>
      </c>
      <c r="O118" s="2" t="s">
        <v>95</v>
      </c>
      <c r="P118" s="2" t="s">
        <v>150</v>
      </c>
      <c r="Q118" s="2" t="s">
        <v>97</v>
      </c>
      <c r="R118" s="2" t="s">
        <v>98</v>
      </c>
      <c r="S118" s="2" t="s">
        <v>499</v>
      </c>
      <c r="T118" s="2" t="s">
        <v>98</v>
      </c>
      <c r="U118" s="2" t="s">
        <v>98</v>
      </c>
      <c r="V118" s="2" t="s">
        <v>482</v>
      </c>
      <c r="W118" s="2" t="s">
        <v>102</v>
      </c>
      <c r="X118" s="2" t="s">
        <v>372</v>
      </c>
      <c r="Y118" s="2" t="s">
        <v>104</v>
      </c>
      <c r="Z118" s="4">
        <v>169</v>
      </c>
      <c r="AA118" s="4">
        <f>=ROUNDDOWN(42.25,0)</f>
      </c>
      <c r="AB118" s="5">
        <v>4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12</v>
      </c>
      <c r="AQ118" s="8">
        <v>258</v>
      </c>
      <c r="AR118" s="4">
        <v>88</v>
      </c>
      <c r="AS118" s="8">
        <v>1600.72</v>
      </c>
      <c r="AT118" s="7">
        <v>-0.8636</v>
      </c>
      <c r="AU118" s="7">
        <v>-0.8388</v>
      </c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0.2792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62</v>
      </c>
      <c r="BK118" s="8">
        <v>1275.21</v>
      </c>
      <c r="BL118" s="2" t="s">
        <v>502</v>
      </c>
      <c r="BM118" s="7">
        <v>0.1935</v>
      </c>
      <c r="BN118" s="7">
        <v>0.2023</v>
      </c>
      <c r="BO118" s="4">
        <v>12</v>
      </c>
      <c r="BP118" s="8">
        <v>258</v>
      </c>
      <c r="BQ118" s="4">
        <v>88</v>
      </c>
      <c r="BR118" s="8">
        <v>1600.72</v>
      </c>
      <c r="BS118" s="7">
        <v>-0.8636</v>
      </c>
      <c r="BT118" s="7">
        <v>-0.8388</v>
      </c>
      <c r="BU118" s="2" t="s">
        <v>107</v>
      </c>
      <c r="BV118" s="2" t="s">
        <v>108</v>
      </c>
      <c r="BW118" s="2" t="s">
        <v>109</v>
      </c>
      <c r="BX118" s="2" t="s">
        <v>486</v>
      </c>
      <c r="BY118" s="2" t="s">
        <v>111</v>
      </c>
    </row>
    <row r="119">
      <c r="A119" s="2" t="s">
        <v>503</v>
      </c>
      <c r="B119" s="2" t="s">
        <v>86</v>
      </c>
      <c r="C119" s="2" t="s">
        <v>87</v>
      </c>
      <c r="D119" s="2" t="s">
        <v>88</v>
      </c>
      <c r="E119" s="2" t="s">
        <v>88</v>
      </c>
      <c r="F119" s="2" t="s">
        <v>477</v>
      </c>
      <c r="G119" s="2" t="s">
        <v>478</v>
      </c>
      <c r="H119" s="2" t="s">
        <v>479</v>
      </c>
      <c r="I119" s="2" t="s">
        <v>480</v>
      </c>
      <c r="J119" s="2" t="s">
        <v>93</v>
      </c>
      <c r="K119" s="2" t="s">
        <v>504</v>
      </c>
      <c r="L119" s="3">
        <v>16.65</v>
      </c>
      <c r="M119" s="3">
        <v>17.48</v>
      </c>
      <c r="N119" s="3">
        <v>36.99</v>
      </c>
      <c r="O119" s="2" t="s">
        <v>95</v>
      </c>
      <c r="P119" s="2" t="s">
        <v>150</v>
      </c>
      <c r="Q119" s="2" t="s">
        <v>97</v>
      </c>
      <c r="R119" s="2" t="s">
        <v>98</v>
      </c>
      <c r="S119" s="2" t="s">
        <v>505</v>
      </c>
      <c r="T119" s="2" t="s">
        <v>98</v>
      </c>
      <c r="U119" s="2" t="s">
        <v>98</v>
      </c>
      <c r="V119" s="2" t="s">
        <v>482</v>
      </c>
      <c r="W119" s="2" t="s">
        <v>102</v>
      </c>
      <c r="X119" s="2" t="s">
        <v>372</v>
      </c>
      <c r="Y119" s="2" t="s">
        <v>104</v>
      </c>
      <c r="Z119" s="4">
        <v>125</v>
      </c>
      <c r="AA119" s="4">
        <f>=ROUNDDOWN(5.68181818181818,0)</f>
      </c>
      <c r="AB119" s="5">
        <v>22</v>
      </c>
      <c r="AC119" s="2" t="s">
        <v>224</v>
      </c>
      <c r="AD119" s="4">
        <v>140</v>
      </c>
      <c r="AE119" s="4">
        <v>588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17</v>
      </c>
      <c r="AQ119" s="8">
        <v>314.5</v>
      </c>
      <c r="AR119" s="4">
        <v>110</v>
      </c>
      <c r="AS119" s="8">
        <v>1714.9</v>
      </c>
      <c r="AT119" s="7">
        <v>-0.8455</v>
      </c>
      <c r="AU119" s="7">
        <v>-0.8166</v>
      </c>
      <c r="AV119" s="4">
        <v>36</v>
      </c>
      <c r="AW119" s="8">
        <v>723</v>
      </c>
      <c r="AX119" s="4">
        <v>161</v>
      </c>
      <c r="AY119" s="8">
        <v>2642.59</v>
      </c>
      <c r="AZ119" s="7">
        <v>-0.7764</v>
      </c>
      <c r="BA119" s="7">
        <v>-0.7264</v>
      </c>
      <c r="BB119" s="7">
        <v>0.435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0.1349</v>
      </c>
      <c r="BJ119" s="4">
        <v>204</v>
      </c>
      <c r="BK119" s="8">
        <v>3483.37</v>
      </c>
      <c r="BL119" s="2" t="s">
        <v>506</v>
      </c>
      <c r="BM119" s="7">
        <v>0.0833</v>
      </c>
      <c r="BN119" s="7">
        <v>0.0903</v>
      </c>
      <c r="BO119" s="4">
        <v>17</v>
      </c>
      <c r="BP119" s="8">
        <v>314.5</v>
      </c>
      <c r="BQ119" s="4">
        <v>110</v>
      </c>
      <c r="BR119" s="8">
        <v>1714.9</v>
      </c>
      <c r="BS119" s="7">
        <v>-0.8455</v>
      </c>
      <c r="BT119" s="7">
        <v>-0.8166</v>
      </c>
      <c r="BU119" s="2" t="s">
        <v>107</v>
      </c>
      <c r="BV119" s="2" t="s">
        <v>108</v>
      </c>
      <c r="BW119" s="2" t="s">
        <v>109</v>
      </c>
      <c r="BX119" s="2" t="s">
        <v>234</v>
      </c>
      <c r="BY119" s="2" t="s">
        <v>111</v>
      </c>
    </row>
    <row r="120">
      <c r="A120" s="2" t="s">
        <v>507</v>
      </c>
      <c r="B120" s="2" t="s">
        <v>86</v>
      </c>
      <c r="C120" s="2" t="s">
        <v>87</v>
      </c>
      <c r="D120" s="2" t="s">
        <v>88</v>
      </c>
      <c r="E120" s="2" t="s">
        <v>88</v>
      </c>
      <c r="F120" s="2" t="s">
        <v>477</v>
      </c>
      <c r="G120" s="2" t="s">
        <v>478</v>
      </c>
      <c r="H120" s="2" t="s">
        <v>479</v>
      </c>
      <c r="I120" s="2" t="s">
        <v>480</v>
      </c>
      <c r="J120" s="2" t="s">
        <v>113</v>
      </c>
      <c r="K120" s="2" t="s">
        <v>504</v>
      </c>
      <c r="L120" s="3">
        <v>19.35</v>
      </c>
      <c r="M120" s="3">
        <v>20.32</v>
      </c>
      <c r="N120" s="3">
        <v>42.99</v>
      </c>
      <c r="O120" s="2" t="s">
        <v>95</v>
      </c>
      <c r="P120" s="2" t="s">
        <v>150</v>
      </c>
      <c r="Q120" s="2" t="s">
        <v>97</v>
      </c>
      <c r="R120" s="2" t="s">
        <v>98</v>
      </c>
      <c r="S120" s="2" t="s">
        <v>505</v>
      </c>
      <c r="T120" s="2" t="s">
        <v>98</v>
      </c>
      <c r="U120" s="2" t="s">
        <v>98</v>
      </c>
      <c r="V120" s="2" t="s">
        <v>482</v>
      </c>
      <c r="W120" s="2" t="s">
        <v>102</v>
      </c>
      <c r="X120" s="2" t="s">
        <v>372</v>
      </c>
      <c r="Y120" s="2" t="s">
        <v>104</v>
      </c>
      <c r="Z120" s="4">
        <v>95</v>
      </c>
      <c r="AA120" s="4">
        <f>=ROUNDDOWN(7.91666666666667,0)</f>
      </c>
      <c r="AB120" s="5">
        <v>12</v>
      </c>
      <c r="AC120" s="2" t="s">
        <v>309</v>
      </c>
      <c r="AD120" s="4">
        <v>128</v>
      </c>
      <c r="AE120" s="4">
        <v>268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19</v>
      </c>
      <c r="AQ120" s="8">
        <v>408.5</v>
      </c>
      <c r="AR120" s="4">
        <v>51</v>
      </c>
      <c r="AS120" s="8">
        <v>927.69</v>
      </c>
      <c r="AT120" s="7">
        <v>-0.6275</v>
      </c>
      <c r="AU120" s="7">
        <v>-0.5597</v>
      </c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0.565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117</v>
      </c>
      <c r="BK120" s="8">
        <v>2394.17</v>
      </c>
      <c r="BL120" s="2" t="s">
        <v>508</v>
      </c>
      <c r="BM120" s="7">
        <v>0.1624</v>
      </c>
      <c r="BN120" s="7">
        <v>0.1706</v>
      </c>
      <c r="BO120" s="4">
        <v>19</v>
      </c>
      <c r="BP120" s="8">
        <v>408.5</v>
      </c>
      <c r="BQ120" s="4">
        <v>51</v>
      </c>
      <c r="BR120" s="8">
        <v>927.69</v>
      </c>
      <c r="BS120" s="7">
        <v>-0.6275</v>
      </c>
      <c r="BT120" s="7">
        <v>-0.5597</v>
      </c>
      <c r="BU120" s="2" t="s">
        <v>107</v>
      </c>
      <c r="BV120" s="2" t="s">
        <v>108</v>
      </c>
      <c r="BW120" s="2" t="s">
        <v>109</v>
      </c>
      <c r="BX120" s="2" t="s">
        <v>184</v>
      </c>
      <c r="BY120" s="2" t="s">
        <v>111</v>
      </c>
    </row>
    <row r="121">
      <c r="A121" s="2" t="s">
        <v>509</v>
      </c>
      <c r="B121" s="2" t="s">
        <v>86</v>
      </c>
      <c r="C121" s="2" t="s">
        <v>87</v>
      </c>
      <c r="D121" s="2" t="s">
        <v>88</v>
      </c>
      <c r="E121" s="2" t="s">
        <v>88</v>
      </c>
      <c r="F121" s="2" t="s">
        <v>477</v>
      </c>
      <c r="G121" s="2" t="s">
        <v>478</v>
      </c>
      <c r="H121" s="2" t="s">
        <v>479</v>
      </c>
      <c r="I121" s="2" t="s">
        <v>480</v>
      </c>
      <c r="J121" s="2" t="s">
        <v>93</v>
      </c>
      <c r="K121" s="2" t="s">
        <v>510</v>
      </c>
      <c r="L121" s="3">
        <v>16.65</v>
      </c>
      <c r="M121" s="3">
        <v>17.48</v>
      </c>
      <c r="N121" s="3">
        <v>36.99</v>
      </c>
      <c r="O121" s="2" t="s">
        <v>95</v>
      </c>
      <c r="P121" s="2" t="s">
        <v>215</v>
      </c>
      <c r="Q121" s="2" t="s">
        <v>97</v>
      </c>
      <c r="R121" s="2" t="s">
        <v>98</v>
      </c>
      <c r="S121" s="2" t="s">
        <v>511</v>
      </c>
      <c r="T121" s="2" t="s">
        <v>98</v>
      </c>
      <c r="U121" s="2" t="s">
        <v>98</v>
      </c>
      <c r="V121" s="2" t="s">
        <v>482</v>
      </c>
      <c r="W121" s="2" t="s">
        <v>102</v>
      </c>
      <c r="X121" s="2" t="s">
        <v>98</v>
      </c>
      <c r="Y121" s="2" t="s">
        <v>104</v>
      </c>
      <c r="Z121" s="4">
        <v>37</v>
      </c>
      <c r="AA121" s="4">
        <f>=ROUNDDOWN(3.7,0)</f>
      </c>
      <c r="AB121" s="5">
        <v>10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11</v>
      </c>
      <c r="AQ121" s="8">
        <v>203.5</v>
      </c>
      <c r="AR121" s="4">
        <v>73</v>
      </c>
      <c r="AS121" s="8">
        <v>1138.07</v>
      </c>
      <c r="AT121" s="7">
        <v>-0.8493</v>
      </c>
      <c r="AU121" s="7">
        <v>-0.8212</v>
      </c>
      <c r="AV121" s="4">
        <v>21</v>
      </c>
      <c r="AW121" s="8">
        <v>418.5</v>
      </c>
      <c r="AX121" s="4">
        <v>88</v>
      </c>
      <c r="AY121" s="8">
        <v>1410.92</v>
      </c>
      <c r="AZ121" s="7">
        <v>-0.7614</v>
      </c>
      <c r="BA121" s="7">
        <v>-0.7034</v>
      </c>
      <c r="BB121" s="7">
        <v>0.4863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0.0781</v>
      </c>
      <c r="BJ121" s="4">
        <v>114</v>
      </c>
      <c r="BK121" s="8">
        <v>1997.67</v>
      </c>
      <c r="BL121" s="2" t="s">
        <v>512</v>
      </c>
      <c r="BM121" s="7">
        <v>0.0965</v>
      </c>
      <c r="BN121" s="7">
        <v>0.1019</v>
      </c>
      <c r="BO121" s="4">
        <v>11</v>
      </c>
      <c r="BP121" s="8">
        <v>203.5</v>
      </c>
      <c r="BQ121" s="4">
        <v>73</v>
      </c>
      <c r="BR121" s="8">
        <v>1138.07</v>
      </c>
      <c r="BS121" s="7">
        <v>-0.8493</v>
      </c>
      <c r="BT121" s="7">
        <v>-0.8212</v>
      </c>
      <c r="BU121" s="2" t="s">
        <v>107</v>
      </c>
      <c r="BV121" s="2" t="s">
        <v>108</v>
      </c>
      <c r="BW121" s="2" t="s">
        <v>109</v>
      </c>
      <c r="BX121" s="2" t="s">
        <v>228</v>
      </c>
      <c r="BY121" s="2" t="s">
        <v>111</v>
      </c>
    </row>
    <row r="122">
      <c r="A122" s="2" t="s">
        <v>513</v>
      </c>
      <c r="B122" s="2" t="s">
        <v>86</v>
      </c>
      <c r="C122" s="2" t="s">
        <v>87</v>
      </c>
      <c r="D122" s="2" t="s">
        <v>88</v>
      </c>
      <c r="E122" s="2" t="s">
        <v>88</v>
      </c>
      <c r="F122" s="2" t="s">
        <v>477</v>
      </c>
      <c r="G122" s="2" t="s">
        <v>478</v>
      </c>
      <c r="H122" s="2" t="s">
        <v>479</v>
      </c>
      <c r="I122" s="2" t="s">
        <v>480</v>
      </c>
      <c r="J122" s="2" t="s">
        <v>113</v>
      </c>
      <c r="K122" s="2" t="s">
        <v>510</v>
      </c>
      <c r="L122" s="3">
        <v>19.35</v>
      </c>
      <c r="M122" s="3">
        <v>20.32</v>
      </c>
      <c r="N122" s="3">
        <v>42.99</v>
      </c>
      <c r="O122" s="2" t="s">
        <v>95</v>
      </c>
      <c r="P122" s="2" t="s">
        <v>215</v>
      </c>
      <c r="Q122" s="2" t="s">
        <v>97</v>
      </c>
      <c r="R122" s="2" t="s">
        <v>98</v>
      </c>
      <c r="S122" s="2" t="s">
        <v>511</v>
      </c>
      <c r="T122" s="2" t="s">
        <v>98</v>
      </c>
      <c r="U122" s="2" t="s">
        <v>98</v>
      </c>
      <c r="V122" s="2" t="s">
        <v>482</v>
      </c>
      <c r="W122" s="2" t="s">
        <v>102</v>
      </c>
      <c r="X122" s="2" t="s">
        <v>98</v>
      </c>
      <c r="Y122" s="2" t="s">
        <v>104</v>
      </c>
      <c r="Z122" s="4">
        <v>82</v>
      </c>
      <c r="AA122" s="4">
        <f>=ROUNDDOWN(9.01098901098901,0)</f>
      </c>
      <c r="AB122" s="5">
        <v>9.1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10</v>
      </c>
      <c r="AQ122" s="8">
        <v>215</v>
      </c>
      <c r="AR122" s="4">
        <v>15</v>
      </c>
      <c r="AS122" s="8">
        <v>272.85</v>
      </c>
      <c r="AT122" s="7">
        <v>-0.3333</v>
      </c>
      <c r="AU122" s="7">
        <v>-0.212</v>
      </c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0.5137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70</v>
      </c>
      <c r="BK122" s="8">
        <v>1441.58</v>
      </c>
      <c r="BL122" s="2" t="s">
        <v>514</v>
      </c>
      <c r="BM122" s="7">
        <v>0.1429</v>
      </c>
      <c r="BN122" s="7">
        <v>0.1491</v>
      </c>
      <c r="BO122" s="4">
        <v>10</v>
      </c>
      <c r="BP122" s="8">
        <v>215</v>
      </c>
      <c r="BQ122" s="4">
        <v>15</v>
      </c>
      <c r="BR122" s="8">
        <v>272.85</v>
      </c>
      <c r="BS122" s="7">
        <v>-0.3333</v>
      </c>
      <c r="BT122" s="7">
        <v>-0.212</v>
      </c>
      <c r="BU122" s="2" t="s">
        <v>107</v>
      </c>
      <c r="BV122" s="2" t="s">
        <v>108</v>
      </c>
      <c r="BW122" s="2" t="s">
        <v>109</v>
      </c>
      <c r="BX122" s="2" t="s">
        <v>139</v>
      </c>
      <c r="BY122" s="2" t="s">
        <v>111</v>
      </c>
    </row>
    <row r="123">
      <c r="A123" s="2" t="s">
        <v>515</v>
      </c>
      <c r="B123" s="2" t="s">
        <v>86</v>
      </c>
      <c r="C123" s="2" t="s">
        <v>87</v>
      </c>
      <c r="D123" s="2" t="s">
        <v>88</v>
      </c>
      <c r="E123" s="2" t="s">
        <v>88</v>
      </c>
      <c r="F123" s="2" t="s">
        <v>516</v>
      </c>
      <c r="G123" s="2" t="s">
        <v>517</v>
      </c>
      <c r="H123" s="2" t="s">
        <v>518</v>
      </c>
      <c r="I123" s="2" t="s">
        <v>519</v>
      </c>
      <c r="J123" s="2" t="s">
        <v>93</v>
      </c>
      <c r="K123" s="2" t="s">
        <v>520</v>
      </c>
      <c r="L123" s="3">
        <v>15.75</v>
      </c>
      <c r="M123" s="3">
        <v>16.54</v>
      </c>
      <c r="N123" s="3">
        <v>34.99</v>
      </c>
      <c r="O123" s="2" t="s">
        <v>95</v>
      </c>
      <c r="P123" s="2" t="s">
        <v>150</v>
      </c>
      <c r="Q123" s="2" t="s">
        <v>97</v>
      </c>
      <c r="R123" s="2" t="s">
        <v>98</v>
      </c>
      <c r="S123" s="2" t="s">
        <v>521</v>
      </c>
      <c r="T123" s="2" t="s">
        <v>98</v>
      </c>
      <c r="U123" s="2" t="s">
        <v>98</v>
      </c>
      <c r="V123" s="2" t="s">
        <v>522</v>
      </c>
      <c r="W123" s="2" t="s">
        <v>102</v>
      </c>
      <c r="X123" s="2" t="s">
        <v>372</v>
      </c>
      <c r="Y123" s="2" t="s">
        <v>104</v>
      </c>
      <c r="Z123" s="4">
        <v>353</v>
      </c>
      <c r="AA123" s="4">
        <f>=ROUNDDOWN(12.6071428571429,0)</f>
      </c>
      <c r="AB123" s="5">
        <v>28</v>
      </c>
      <c r="AC123" s="2" t="s">
        <v>132</v>
      </c>
      <c r="AD123" s="4">
        <v>168</v>
      </c>
      <c r="AE123" s="4">
        <v>568</v>
      </c>
      <c r="AF123" s="6">
        <v>65</v>
      </c>
      <c r="AG123" s="6"/>
      <c r="AH123" s="7">
        <v>1</v>
      </c>
      <c r="AI123" s="4">
        <v>5</v>
      </c>
      <c r="AJ123" s="4">
        <f>=ROUNDDOWN(1.38888888888889,0)</f>
      </c>
      <c r="AK123" s="5">
        <v>3.6</v>
      </c>
      <c r="AL123" s="2" t="s">
        <v>98</v>
      </c>
      <c r="AM123" s="4"/>
      <c r="AN123" s="4"/>
      <c r="AO123" s="7">
        <v>1</v>
      </c>
      <c r="AP123" s="4">
        <v>41</v>
      </c>
      <c r="AQ123" s="8">
        <v>717.5</v>
      </c>
      <c r="AR123" s="4"/>
      <c r="AS123" s="8"/>
      <c r="AT123" s="7"/>
      <c r="AU123" s="7"/>
      <c r="AV123" s="4">
        <v>41</v>
      </c>
      <c r="AW123" s="8">
        <v>717.5</v>
      </c>
      <c r="AX123" s="4"/>
      <c r="AY123" s="8"/>
      <c r="AZ123" s="7"/>
      <c r="BA123" s="7"/>
      <c r="BB123" s="7">
        <v>1</v>
      </c>
      <c r="BC123" s="4">
        <v>179</v>
      </c>
      <c r="BD123" s="8">
        <v>3132.5</v>
      </c>
      <c r="BE123" s="4">
        <v>100</v>
      </c>
      <c r="BF123" s="8">
        <v>1497</v>
      </c>
      <c r="BG123" s="7">
        <v>0.79</v>
      </c>
      <c r="BH123" s="7">
        <v>1.0925</v>
      </c>
      <c r="BI123" s="7">
        <v>0.2291</v>
      </c>
      <c r="BJ123" s="4">
        <v>194</v>
      </c>
      <c r="BK123" s="8">
        <v>3290.05</v>
      </c>
      <c r="BL123" s="2" t="s">
        <v>523</v>
      </c>
      <c r="BM123" s="7">
        <v>0.2113</v>
      </c>
      <c r="BN123" s="7">
        <v>0.2181</v>
      </c>
      <c r="BO123" s="4">
        <v>41</v>
      </c>
      <c r="BP123" s="8">
        <v>717.5</v>
      </c>
      <c r="BQ123" s="4"/>
      <c r="BR123" s="8"/>
      <c r="BS123" s="7"/>
      <c r="BT123" s="7"/>
      <c r="BU123" s="2" t="s">
        <v>107</v>
      </c>
      <c r="BV123" s="2" t="s">
        <v>108</v>
      </c>
      <c r="BW123" s="2" t="s">
        <v>524</v>
      </c>
      <c r="BX123" s="2" t="s">
        <v>525</v>
      </c>
      <c r="BY123" s="2" t="s">
        <v>111</v>
      </c>
    </row>
    <row r="124">
      <c r="A124" s="2" t="s">
        <v>526</v>
      </c>
      <c r="B124" s="2" t="s">
        <v>86</v>
      </c>
      <c r="C124" s="2" t="s">
        <v>87</v>
      </c>
      <c r="D124" s="2" t="s">
        <v>88</v>
      </c>
      <c r="E124" s="2" t="s">
        <v>88</v>
      </c>
      <c r="F124" s="2" t="s">
        <v>516</v>
      </c>
      <c r="G124" s="2" t="s">
        <v>517</v>
      </c>
      <c r="H124" s="2" t="s">
        <v>518</v>
      </c>
      <c r="I124" s="2" t="s">
        <v>519</v>
      </c>
      <c r="J124" s="2" t="s">
        <v>93</v>
      </c>
      <c r="K124" s="2" t="s">
        <v>299</v>
      </c>
      <c r="L124" s="3">
        <v>15.75</v>
      </c>
      <c r="M124" s="3">
        <v>16.54</v>
      </c>
      <c r="N124" s="3">
        <v>34.99</v>
      </c>
      <c r="O124" s="2" t="s">
        <v>95</v>
      </c>
      <c r="P124" s="2" t="s">
        <v>150</v>
      </c>
      <c r="Q124" s="2" t="s">
        <v>97</v>
      </c>
      <c r="R124" s="2" t="s">
        <v>98</v>
      </c>
      <c r="S124" s="2" t="s">
        <v>527</v>
      </c>
      <c r="T124" s="2" t="s">
        <v>98</v>
      </c>
      <c r="U124" s="2" t="s">
        <v>98</v>
      </c>
      <c r="V124" s="2" t="s">
        <v>522</v>
      </c>
      <c r="W124" s="2" t="s">
        <v>102</v>
      </c>
      <c r="X124" s="2" t="s">
        <v>372</v>
      </c>
      <c r="Y124" s="2" t="s">
        <v>104</v>
      </c>
      <c r="Z124" s="4">
        <v>95</v>
      </c>
      <c r="AA124" s="4">
        <f>=ROUNDDOWN(3.27586206896552,0)</f>
      </c>
      <c r="AB124" s="5">
        <v>29</v>
      </c>
      <c r="AC124" s="2" t="s">
        <v>179</v>
      </c>
      <c r="AD124" s="4">
        <v>488</v>
      </c>
      <c r="AE124" s="4">
        <v>912</v>
      </c>
      <c r="AF124" s="6">
        <v>65</v>
      </c>
      <c r="AG124" s="6"/>
      <c r="AH124" s="7">
        <v>1</v>
      </c>
      <c r="AI124" s="4"/>
      <c r="AJ124" s="4">
        <f>=ROUNDDOWN({0},0)</f>
      </c>
      <c r="AK124" s="5">
        <v>5.7</v>
      </c>
      <c r="AL124" s="2" t="s">
        <v>98</v>
      </c>
      <c r="AM124" s="4"/>
      <c r="AN124" s="4"/>
      <c r="AO124" s="7">
        <v>0.6</v>
      </c>
      <c r="AP124" s="4">
        <v>37</v>
      </c>
      <c r="AQ124" s="8">
        <v>647.5</v>
      </c>
      <c r="AR124" s="4"/>
      <c r="AS124" s="8"/>
      <c r="AT124" s="7"/>
      <c r="AU124" s="7"/>
      <c r="AV124" s="4">
        <v>37</v>
      </c>
      <c r="AW124" s="8">
        <v>647.5</v>
      </c>
      <c r="AX124" s="4"/>
      <c r="AY124" s="8"/>
      <c r="AZ124" s="7"/>
      <c r="BA124" s="7"/>
      <c r="BB124" s="7">
        <v>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0.2067</v>
      </c>
      <c r="BJ124" s="4">
        <v>654</v>
      </c>
      <c r="BK124" s="8">
        <v>11386.41</v>
      </c>
      <c r="BL124" s="2" t="s">
        <v>528</v>
      </c>
      <c r="BM124" s="7">
        <v>0.0566</v>
      </c>
      <c r="BN124" s="7">
        <v>0.0569</v>
      </c>
      <c r="BO124" s="4">
        <v>37</v>
      </c>
      <c r="BP124" s="8">
        <v>647.5</v>
      </c>
      <c r="BQ124" s="4"/>
      <c r="BR124" s="8"/>
      <c r="BS124" s="7"/>
      <c r="BT124" s="7"/>
      <c r="BU124" s="2" t="s">
        <v>107</v>
      </c>
      <c r="BV124" s="2" t="s">
        <v>108</v>
      </c>
      <c r="BW124" s="2" t="s">
        <v>524</v>
      </c>
      <c r="BX124" s="2" t="s">
        <v>525</v>
      </c>
      <c r="BY124" s="2" t="s">
        <v>111</v>
      </c>
    </row>
    <row r="125">
      <c r="A125" s="2" t="s">
        <v>529</v>
      </c>
      <c r="B125" s="2" t="s">
        <v>86</v>
      </c>
      <c r="C125" s="2" t="s">
        <v>87</v>
      </c>
      <c r="D125" s="2" t="s">
        <v>88</v>
      </c>
      <c r="E125" s="2" t="s">
        <v>88</v>
      </c>
      <c r="F125" s="2" t="s">
        <v>516</v>
      </c>
      <c r="G125" s="2" t="s">
        <v>517</v>
      </c>
      <c r="H125" s="2" t="s">
        <v>518</v>
      </c>
      <c r="I125" s="2" t="s">
        <v>519</v>
      </c>
      <c r="J125" s="2" t="s">
        <v>93</v>
      </c>
      <c r="K125" s="2" t="s">
        <v>530</v>
      </c>
      <c r="L125" s="3">
        <v>15.75</v>
      </c>
      <c r="M125" s="3">
        <v>16.54</v>
      </c>
      <c r="N125" s="3">
        <v>34.99</v>
      </c>
      <c r="O125" s="2" t="s">
        <v>95</v>
      </c>
      <c r="P125" s="2" t="s">
        <v>150</v>
      </c>
      <c r="Q125" s="2" t="s">
        <v>97</v>
      </c>
      <c r="R125" s="2" t="s">
        <v>98</v>
      </c>
      <c r="S125" s="2" t="s">
        <v>531</v>
      </c>
      <c r="T125" s="2" t="s">
        <v>98</v>
      </c>
      <c r="U125" s="2" t="s">
        <v>98</v>
      </c>
      <c r="V125" s="2" t="s">
        <v>522</v>
      </c>
      <c r="W125" s="2" t="s">
        <v>102</v>
      </c>
      <c r="X125" s="2" t="s">
        <v>372</v>
      </c>
      <c r="Y125" s="2" t="s">
        <v>532</v>
      </c>
      <c r="Z125" s="4">
        <v>668</v>
      </c>
      <c r="AA125" s="4">
        <f>=ROUNDDOWN(23.8571428571429,0)</f>
      </c>
      <c r="AB125" s="5">
        <v>28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28</v>
      </c>
      <c r="AQ125" s="8">
        <v>490</v>
      </c>
      <c r="AR125" s="4"/>
      <c r="AS125" s="8"/>
      <c r="AT125" s="7"/>
      <c r="AU125" s="7"/>
      <c r="AV125" s="4">
        <v>28</v>
      </c>
      <c r="AW125" s="8">
        <v>490</v>
      </c>
      <c r="AX125" s="4"/>
      <c r="AY125" s="8"/>
      <c r="AZ125" s="7"/>
      <c r="BA125" s="7"/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0.1564</v>
      </c>
      <c r="BJ125" s="4">
        <v>787</v>
      </c>
      <c r="BK125" s="8">
        <v>13513.42</v>
      </c>
      <c r="BL125" s="2" t="s">
        <v>533</v>
      </c>
      <c r="BM125" s="7">
        <v>0.0356</v>
      </c>
      <c r="BN125" s="7">
        <v>0.0363</v>
      </c>
      <c r="BO125" s="4">
        <v>28</v>
      </c>
      <c r="BP125" s="8">
        <v>490</v>
      </c>
      <c r="BQ125" s="4"/>
      <c r="BR125" s="8"/>
      <c r="BS125" s="7"/>
      <c r="BT125" s="7"/>
      <c r="BU125" s="2" t="s">
        <v>107</v>
      </c>
      <c r="BV125" s="2" t="s">
        <v>108</v>
      </c>
      <c r="BW125" s="2" t="s">
        <v>524</v>
      </c>
      <c r="BX125" s="2" t="s">
        <v>534</v>
      </c>
      <c r="BY125" s="2" t="s">
        <v>111</v>
      </c>
    </row>
    <row r="126">
      <c r="A126" s="2" t="s">
        <v>535</v>
      </c>
      <c r="B126" s="2" t="s">
        <v>86</v>
      </c>
      <c r="C126" s="2" t="s">
        <v>87</v>
      </c>
      <c r="D126" s="2" t="s">
        <v>88</v>
      </c>
      <c r="E126" s="2" t="s">
        <v>88</v>
      </c>
      <c r="F126" s="2" t="s">
        <v>516</v>
      </c>
      <c r="G126" s="2" t="s">
        <v>517</v>
      </c>
      <c r="H126" s="2" t="s">
        <v>518</v>
      </c>
      <c r="I126" s="2" t="s">
        <v>519</v>
      </c>
      <c r="J126" s="2" t="s">
        <v>93</v>
      </c>
      <c r="K126" s="2" t="s">
        <v>455</v>
      </c>
      <c r="L126" s="3">
        <v>15.75</v>
      </c>
      <c r="M126" s="3">
        <v>16.54</v>
      </c>
      <c r="N126" s="3">
        <v>34.99</v>
      </c>
      <c r="O126" s="2" t="s">
        <v>95</v>
      </c>
      <c r="P126" s="2" t="s">
        <v>150</v>
      </c>
      <c r="Q126" s="2" t="s">
        <v>97</v>
      </c>
      <c r="R126" s="2" t="s">
        <v>98</v>
      </c>
      <c r="S126" s="2" t="s">
        <v>536</v>
      </c>
      <c r="T126" s="2" t="s">
        <v>98</v>
      </c>
      <c r="U126" s="2" t="s">
        <v>98</v>
      </c>
      <c r="V126" s="2" t="s">
        <v>522</v>
      </c>
      <c r="W126" s="2" t="s">
        <v>102</v>
      </c>
      <c r="X126" s="2" t="s">
        <v>372</v>
      </c>
      <c r="Y126" s="2" t="s">
        <v>537</v>
      </c>
      <c r="Z126" s="4">
        <v>345</v>
      </c>
      <c r="AA126" s="4">
        <f>=ROUNDDOWN(28.75,0)</f>
      </c>
      <c r="AB126" s="5">
        <v>12</v>
      </c>
      <c r="AC126" s="2" t="s">
        <v>278</v>
      </c>
      <c r="AD126" s="4">
        <v>220</v>
      </c>
      <c r="AE126" s="4">
        <v>220</v>
      </c>
      <c r="AF126" s="6">
        <v>65</v>
      </c>
      <c r="AG126" s="6"/>
      <c r="AH126" s="7">
        <v>1</v>
      </c>
      <c r="AI126" s="4"/>
      <c r="AJ126" s="4">
        <f>=ROUNDDOWN({0},0)</f>
      </c>
      <c r="AK126" s="5">
        <v>0.1</v>
      </c>
      <c r="AL126" s="2" t="s">
        <v>98</v>
      </c>
      <c r="AM126" s="4"/>
      <c r="AN126" s="4"/>
      <c r="AO126" s="7">
        <v>0.5444</v>
      </c>
      <c r="AP126" s="4">
        <v>21</v>
      </c>
      <c r="AQ126" s="8">
        <v>367.5</v>
      </c>
      <c r="AR126" s="4"/>
      <c r="AS126" s="8"/>
      <c r="AT126" s="7"/>
      <c r="AU126" s="7"/>
      <c r="AV126" s="4">
        <v>21</v>
      </c>
      <c r="AW126" s="8">
        <v>367.5</v>
      </c>
      <c r="AX126" s="4"/>
      <c r="AY126" s="8"/>
      <c r="AZ126" s="7"/>
      <c r="BA126" s="7"/>
      <c r="BB126" s="7">
        <v>1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0.1173</v>
      </c>
      <c r="BJ126" s="4">
        <v>220</v>
      </c>
      <c r="BK126" s="8">
        <v>3627.13</v>
      </c>
      <c r="BL126" s="2" t="s">
        <v>538</v>
      </c>
      <c r="BM126" s="7">
        <v>0.0955</v>
      </c>
      <c r="BN126" s="7">
        <v>0.1013</v>
      </c>
      <c r="BO126" s="4">
        <v>21</v>
      </c>
      <c r="BP126" s="8">
        <v>367.5</v>
      </c>
      <c r="BQ126" s="4"/>
      <c r="BR126" s="8"/>
      <c r="BS126" s="7"/>
      <c r="BT126" s="7"/>
      <c r="BU126" s="2" t="s">
        <v>107</v>
      </c>
      <c r="BV126" s="2" t="s">
        <v>108</v>
      </c>
      <c r="BW126" s="2" t="s">
        <v>524</v>
      </c>
      <c r="BX126" s="2" t="s">
        <v>539</v>
      </c>
      <c r="BY126" s="2" t="s">
        <v>111</v>
      </c>
    </row>
    <row r="127">
      <c r="A127" s="2" t="s">
        <v>540</v>
      </c>
      <c r="B127" s="2" t="s">
        <v>86</v>
      </c>
      <c r="C127" s="2" t="s">
        <v>87</v>
      </c>
      <c r="D127" s="2" t="s">
        <v>88</v>
      </c>
      <c r="E127" s="2" t="s">
        <v>88</v>
      </c>
      <c r="F127" s="2" t="s">
        <v>516</v>
      </c>
      <c r="G127" s="2" t="s">
        <v>517</v>
      </c>
      <c r="H127" s="2" t="s">
        <v>518</v>
      </c>
      <c r="I127" s="2" t="s">
        <v>519</v>
      </c>
      <c r="J127" s="2" t="s">
        <v>93</v>
      </c>
      <c r="K127" s="2" t="s">
        <v>323</v>
      </c>
      <c r="L127" s="3">
        <v>15.75</v>
      </c>
      <c r="M127" s="3">
        <v>16.54</v>
      </c>
      <c r="N127" s="3">
        <v>34.99</v>
      </c>
      <c r="O127" s="2" t="s">
        <v>95</v>
      </c>
      <c r="P127" s="2" t="s">
        <v>150</v>
      </c>
      <c r="Q127" s="2" t="s">
        <v>97</v>
      </c>
      <c r="R127" s="2" t="s">
        <v>98</v>
      </c>
      <c r="S127" s="2" t="s">
        <v>541</v>
      </c>
      <c r="T127" s="2" t="s">
        <v>98</v>
      </c>
      <c r="U127" s="2" t="s">
        <v>98</v>
      </c>
      <c r="V127" s="2" t="s">
        <v>522</v>
      </c>
      <c r="W127" s="2" t="s">
        <v>102</v>
      </c>
      <c r="X127" s="2" t="s">
        <v>372</v>
      </c>
      <c r="Y127" s="2" t="s">
        <v>104</v>
      </c>
      <c r="Z127" s="4">
        <v>246</v>
      </c>
      <c r="AA127" s="4">
        <f>=ROUNDDOWN(14.4705882352941,0)</f>
      </c>
      <c r="AB127" s="5">
        <v>17</v>
      </c>
      <c r="AC127" s="2" t="s">
        <v>388</v>
      </c>
      <c r="AD127" s="4">
        <v>400</v>
      </c>
      <c r="AE127" s="4">
        <v>400</v>
      </c>
      <c r="AF127" s="6">
        <v>65</v>
      </c>
      <c r="AG127" s="6"/>
      <c r="AH127" s="7">
        <v>1</v>
      </c>
      <c r="AI127" s="4"/>
      <c r="AJ127" s="4">
        <f>=ROUNDDOWN({0},0)</f>
      </c>
      <c r="AK127" s="5">
        <v>0.1</v>
      </c>
      <c r="AL127" s="2" t="s">
        <v>98</v>
      </c>
      <c r="AM127" s="4"/>
      <c r="AN127" s="4"/>
      <c r="AO127" s="7">
        <v>0.7333</v>
      </c>
      <c r="AP127" s="4">
        <v>17</v>
      </c>
      <c r="AQ127" s="8">
        <v>297.5</v>
      </c>
      <c r="AR127" s="4">
        <v>100</v>
      </c>
      <c r="AS127" s="8">
        <v>1497</v>
      </c>
      <c r="AT127" s="7">
        <v>-0.83</v>
      </c>
      <c r="AU127" s="7">
        <v>-0.8013</v>
      </c>
      <c r="AV127" s="4">
        <v>17</v>
      </c>
      <c r="AW127" s="8">
        <v>297.5</v>
      </c>
      <c r="AX127" s="4">
        <v>100</v>
      </c>
      <c r="AY127" s="8">
        <v>1497</v>
      </c>
      <c r="AZ127" s="7">
        <v>-0.83</v>
      </c>
      <c r="BA127" s="7">
        <v>-0.8013</v>
      </c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0.095</v>
      </c>
      <c r="BJ127" s="4">
        <v>258</v>
      </c>
      <c r="BK127" s="8">
        <v>4404.46</v>
      </c>
      <c r="BL127" s="2" t="s">
        <v>542</v>
      </c>
      <c r="BM127" s="7">
        <v>0.0659</v>
      </c>
      <c r="BN127" s="7">
        <v>0.0675</v>
      </c>
      <c r="BO127" s="4">
        <v>17</v>
      </c>
      <c r="BP127" s="8">
        <v>297.5</v>
      </c>
      <c r="BQ127" s="4">
        <v>100</v>
      </c>
      <c r="BR127" s="8">
        <v>1497</v>
      </c>
      <c r="BS127" s="7">
        <v>-0.83</v>
      </c>
      <c r="BT127" s="7">
        <v>-0.8013</v>
      </c>
      <c r="BU127" s="2" t="s">
        <v>107</v>
      </c>
      <c r="BV127" s="2" t="s">
        <v>108</v>
      </c>
      <c r="BW127" s="2" t="s">
        <v>109</v>
      </c>
      <c r="BX127" s="2" t="s">
        <v>142</v>
      </c>
      <c r="BY127" s="2" t="s">
        <v>111</v>
      </c>
    </row>
    <row r="128">
      <c r="A128" s="2" t="s">
        <v>543</v>
      </c>
      <c r="B128" s="2" t="s">
        <v>86</v>
      </c>
      <c r="C128" s="2" t="s">
        <v>87</v>
      </c>
      <c r="D128" s="2" t="s">
        <v>88</v>
      </c>
      <c r="E128" s="2" t="s">
        <v>88</v>
      </c>
      <c r="F128" s="2" t="s">
        <v>516</v>
      </c>
      <c r="G128" s="2" t="s">
        <v>517</v>
      </c>
      <c r="H128" s="2" t="s">
        <v>518</v>
      </c>
      <c r="I128" s="2" t="s">
        <v>519</v>
      </c>
      <c r="J128" s="2" t="s">
        <v>93</v>
      </c>
      <c r="K128" s="2" t="s">
        <v>464</v>
      </c>
      <c r="L128" s="3">
        <v>15.75</v>
      </c>
      <c r="M128" s="3">
        <v>16.54</v>
      </c>
      <c r="N128" s="3">
        <v>34.99</v>
      </c>
      <c r="O128" s="2" t="s">
        <v>95</v>
      </c>
      <c r="P128" s="2" t="s">
        <v>150</v>
      </c>
      <c r="Q128" s="2" t="s">
        <v>97</v>
      </c>
      <c r="R128" s="2" t="s">
        <v>98</v>
      </c>
      <c r="S128" s="2" t="s">
        <v>544</v>
      </c>
      <c r="T128" s="2" t="s">
        <v>98</v>
      </c>
      <c r="U128" s="2" t="s">
        <v>98</v>
      </c>
      <c r="V128" s="2" t="s">
        <v>522</v>
      </c>
      <c r="W128" s="2" t="s">
        <v>102</v>
      </c>
      <c r="X128" s="2" t="s">
        <v>372</v>
      </c>
      <c r="Y128" s="2" t="s">
        <v>104</v>
      </c>
      <c r="Z128" s="4">
        <v>238</v>
      </c>
      <c r="AA128" s="4">
        <f>=ROUNDDOWN(19.8333333333333,0)</f>
      </c>
      <c r="AB128" s="5">
        <v>12</v>
      </c>
      <c r="AC128" s="2" t="s">
        <v>158</v>
      </c>
      <c r="AD128" s="4">
        <v>160</v>
      </c>
      <c r="AE128" s="4">
        <v>160</v>
      </c>
      <c r="AF128" s="6">
        <v>65</v>
      </c>
      <c r="AG128" s="6"/>
      <c r="AH128" s="7">
        <v>1</v>
      </c>
      <c r="AI128" s="4">
        <v>2</v>
      </c>
      <c r="AJ128" s="4">
        <f>=ROUNDDOWN(0.54054054054054,0)</f>
      </c>
      <c r="AK128" s="5">
        <v>3.7</v>
      </c>
      <c r="AL128" s="2" t="s">
        <v>98</v>
      </c>
      <c r="AM128" s="4"/>
      <c r="AN128" s="4"/>
      <c r="AO128" s="7">
        <v>1</v>
      </c>
      <c r="AP128" s="4">
        <v>14</v>
      </c>
      <c r="AQ128" s="8">
        <v>245</v>
      </c>
      <c r="AR128" s="4"/>
      <c r="AS128" s="8"/>
      <c r="AT128" s="7"/>
      <c r="AU128" s="7"/>
      <c r="AV128" s="4">
        <v>14</v>
      </c>
      <c r="AW128" s="8">
        <v>245</v>
      </c>
      <c r="AX128" s="4"/>
      <c r="AY128" s="8"/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0.0782</v>
      </c>
      <c r="BJ128" s="4">
        <v>146</v>
      </c>
      <c r="BK128" s="8">
        <v>2493.23</v>
      </c>
      <c r="BL128" s="2" t="s">
        <v>545</v>
      </c>
      <c r="BM128" s="7">
        <v>0.0959</v>
      </c>
      <c r="BN128" s="7">
        <v>0.0983</v>
      </c>
      <c r="BO128" s="4">
        <v>14</v>
      </c>
      <c r="BP128" s="8">
        <v>245</v>
      </c>
      <c r="BQ128" s="4"/>
      <c r="BR128" s="8"/>
      <c r="BS128" s="7"/>
      <c r="BT128" s="7"/>
      <c r="BU128" s="2" t="s">
        <v>107</v>
      </c>
      <c r="BV128" s="2" t="s">
        <v>108</v>
      </c>
      <c r="BW128" s="2" t="s">
        <v>524</v>
      </c>
      <c r="BX128" s="2" t="s">
        <v>546</v>
      </c>
      <c r="BY128" s="2" t="s">
        <v>111</v>
      </c>
    </row>
    <row r="129">
      <c r="A129" s="2" t="s">
        <v>547</v>
      </c>
      <c r="B129" s="2" t="s">
        <v>86</v>
      </c>
      <c r="C129" s="2" t="s">
        <v>87</v>
      </c>
      <c r="D129" s="2" t="s">
        <v>88</v>
      </c>
      <c r="E129" s="2" t="s">
        <v>88</v>
      </c>
      <c r="F129" s="2" t="s">
        <v>516</v>
      </c>
      <c r="G129" s="2" t="s">
        <v>517</v>
      </c>
      <c r="H129" s="2" t="s">
        <v>518</v>
      </c>
      <c r="I129" s="2" t="s">
        <v>519</v>
      </c>
      <c r="J129" s="2" t="s">
        <v>93</v>
      </c>
      <c r="K129" s="2" t="s">
        <v>312</v>
      </c>
      <c r="L129" s="3">
        <v>15.75</v>
      </c>
      <c r="M129" s="3">
        <v>16.54</v>
      </c>
      <c r="N129" s="3">
        <v>34.99</v>
      </c>
      <c r="O129" s="2" t="s">
        <v>95</v>
      </c>
      <c r="P129" s="2" t="s">
        <v>129</v>
      </c>
      <c r="Q129" s="2" t="s">
        <v>97</v>
      </c>
      <c r="R129" s="2" t="s">
        <v>98</v>
      </c>
      <c r="S129" s="2" t="s">
        <v>548</v>
      </c>
      <c r="T129" s="2" t="s">
        <v>98</v>
      </c>
      <c r="U129" s="2" t="s">
        <v>98</v>
      </c>
      <c r="V129" s="2" t="s">
        <v>522</v>
      </c>
      <c r="W129" s="2" t="s">
        <v>102</v>
      </c>
      <c r="X129" s="2" t="s">
        <v>372</v>
      </c>
      <c r="Y129" s="2" t="s">
        <v>104</v>
      </c>
      <c r="Z129" s="4">
        <v>317</v>
      </c>
      <c r="AA129" s="4">
        <f>=ROUNDDOWN(3.68604651162791,0)</f>
      </c>
      <c r="AB129" s="5">
        <v>86</v>
      </c>
      <c r="AC129" s="2" t="s">
        <v>264</v>
      </c>
      <c r="AD129" s="4">
        <v>888</v>
      </c>
      <c r="AE129" s="4">
        <v>2064</v>
      </c>
      <c r="AF129" s="6">
        <v>65</v>
      </c>
      <c r="AG129" s="6"/>
      <c r="AH129" s="7">
        <v>1</v>
      </c>
      <c r="AI129" s="4">
        <v>2</v>
      </c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13</v>
      </c>
      <c r="AQ129" s="8">
        <v>227.5</v>
      </c>
      <c r="AR129" s="4"/>
      <c r="AS129" s="8"/>
      <c r="AT129" s="7"/>
      <c r="AU129" s="7"/>
      <c r="AV129" s="4">
        <v>13</v>
      </c>
      <c r="AW129" s="8">
        <v>227.5</v>
      </c>
      <c r="AX129" s="4"/>
      <c r="AY129" s="8"/>
      <c r="AZ129" s="7"/>
      <c r="BA129" s="7"/>
      <c r="BB129" s="7">
        <v>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0.0726</v>
      </c>
      <c r="BJ129" s="4">
        <v>1065</v>
      </c>
      <c r="BK129" s="8">
        <v>18644.15</v>
      </c>
      <c r="BL129" s="2" t="s">
        <v>549</v>
      </c>
      <c r="BM129" s="7">
        <v>0.0122</v>
      </c>
      <c r="BN129" s="7">
        <v>0.0122</v>
      </c>
      <c r="BO129" s="4">
        <v>13</v>
      </c>
      <c r="BP129" s="8">
        <v>227.5</v>
      </c>
      <c r="BQ129" s="4"/>
      <c r="BR129" s="8"/>
      <c r="BS129" s="7"/>
      <c r="BT129" s="7"/>
      <c r="BU129" s="2" t="s">
        <v>107</v>
      </c>
      <c r="BV129" s="2" t="s">
        <v>108</v>
      </c>
      <c r="BW129" s="2" t="s">
        <v>524</v>
      </c>
      <c r="BX129" s="2" t="s">
        <v>534</v>
      </c>
      <c r="BY129" s="2" t="s">
        <v>111</v>
      </c>
    </row>
    <row r="130">
      <c r="A130" s="2" t="s">
        <v>550</v>
      </c>
      <c r="B130" s="2" t="s">
        <v>86</v>
      </c>
      <c r="C130" s="2" t="s">
        <v>87</v>
      </c>
      <c r="D130" s="2" t="s">
        <v>88</v>
      </c>
      <c r="E130" s="2" t="s">
        <v>88</v>
      </c>
      <c r="F130" s="2" t="s">
        <v>516</v>
      </c>
      <c r="G130" s="2" t="s">
        <v>517</v>
      </c>
      <c r="H130" s="2" t="s">
        <v>518</v>
      </c>
      <c r="I130" s="2" t="s">
        <v>519</v>
      </c>
      <c r="J130" s="2" t="s">
        <v>93</v>
      </c>
      <c r="K130" s="2" t="s">
        <v>551</v>
      </c>
      <c r="L130" s="3">
        <v>15.75</v>
      </c>
      <c r="M130" s="3">
        <v>16.54</v>
      </c>
      <c r="N130" s="3">
        <v>34.99</v>
      </c>
      <c r="O130" s="2" t="s">
        <v>95</v>
      </c>
      <c r="P130" s="2" t="s">
        <v>150</v>
      </c>
      <c r="Q130" s="2" t="s">
        <v>97</v>
      </c>
      <c r="R130" s="2" t="s">
        <v>98</v>
      </c>
      <c r="S130" s="2" t="s">
        <v>552</v>
      </c>
      <c r="T130" s="2" t="s">
        <v>98</v>
      </c>
      <c r="U130" s="2" t="s">
        <v>98</v>
      </c>
      <c r="V130" s="2" t="s">
        <v>522</v>
      </c>
      <c r="W130" s="2" t="s">
        <v>102</v>
      </c>
      <c r="X130" s="2" t="s">
        <v>372</v>
      </c>
      <c r="Y130" s="2" t="s">
        <v>532</v>
      </c>
      <c r="Z130" s="4">
        <v>458</v>
      </c>
      <c r="AA130" s="4">
        <f>=ROUNDDOWN(13.8787878787879,0)</f>
      </c>
      <c r="AB130" s="5">
        <v>33</v>
      </c>
      <c r="AC130" s="2" t="s">
        <v>179</v>
      </c>
      <c r="AD130" s="4">
        <v>224</v>
      </c>
      <c r="AE130" s="4">
        <v>624</v>
      </c>
      <c r="AF130" s="6">
        <v>65</v>
      </c>
      <c r="AG130" s="6"/>
      <c r="AH130" s="7">
        <v>1</v>
      </c>
      <c r="AI130" s="4">
        <v>1</v>
      </c>
      <c r="AJ130" s="4">
        <f>=ROUNDDOWN(0.178571428571429,0)</f>
      </c>
      <c r="AK130" s="5">
        <v>5.6</v>
      </c>
      <c r="AL130" s="2" t="s">
        <v>98</v>
      </c>
      <c r="AM130" s="4"/>
      <c r="AN130" s="4"/>
      <c r="AO130" s="7">
        <v>0.7667</v>
      </c>
      <c r="AP130" s="4">
        <v>4</v>
      </c>
      <c r="AQ130" s="8">
        <v>70</v>
      </c>
      <c r="AR130" s="4"/>
      <c r="AS130" s="8"/>
      <c r="AT130" s="7"/>
      <c r="AU130" s="7"/>
      <c r="AV130" s="4">
        <v>4</v>
      </c>
      <c r="AW130" s="8">
        <v>70</v>
      </c>
      <c r="AX130" s="4"/>
      <c r="AY130" s="8"/>
      <c r="AZ130" s="7"/>
      <c r="BA130" s="7"/>
      <c r="BB130" s="7">
        <v>1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0.0223</v>
      </c>
      <c r="BJ130" s="4">
        <v>436</v>
      </c>
      <c r="BK130" s="8">
        <v>7339.47</v>
      </c>
      <c r="BL130" s="2" t="s">
        <v>538</v>
      </c>
      <c r="BM130" s="7">
        <v>0.0092</v>
      </c>
      <c r="BN130" s="7">
        <v>0.0095</v>
      </c>
      <c r="BO130" s="4">
        <v>4</v>
      </c>
      <c r="BP130" s="8">
        <v>70</v>
      </c>
      <c r="BQ130" s="4"/>
      <c r="BR130" s="8"/>
      <c r="BS130" s="7"/>
      <c r="BT130" s="7"/>
      <c r="BU130" s="2" t="s">
        <v>107</v>
      </c>
      <c r="BV130" s="2" t="s">
        <v>108</v>
      </c>
      <c r="BW130" s="2" t="s">
        <v>524</v>
      </c>
      <c r="BX130" s="2" t="s">
        <v>207</v>
      </c>
      <c r="BY130" s="2" t="s">
        <v>111</v>
      </c>
    </row>
    <row r="131">
      <c r="A131" s="2" t="s">
        <v>553</v>
      </c>
      <c r="B131" s="2" t="s">
        <v>86</v>
      </c>
      <c r="C131" s="2" t="s">
        <v>87</v>
      </c>
      <c r="D131" s="2" t="s">
        <v>88</v>
      </c>
      <c r="E131" s="2" t="s">
        <v>88</v>
      </c>
      <c r="F131" s="2" t="s">
        <v>516</v>
      </c>
      <c r="G131" s="2" t="s">
        <v>517</v>
      </c>
      <c r="H131" s="2" t="s">
        <v>518</v>
      </c>
      <c r="I131" s="2" t="s">
        <v>519</v>
      </c>
      <c r="J131" s="2" t="s">
        <v>93</v>
      </c>
      <c r="K131" s="2" t="s">
        <v>458</v>
      </c>
      <c r="L131" s="3">
        <v>15.75</v>
      </c>
      <c r="M131" s="3">
        <v>16.54</v>
      </c>
      <c r="N131" s="3">
        <v>34.99</v>
      </c>
      <c r="O131" s="2" t="s">
        <v>95</v>
      </c>
      <c r="P131" s="2" t="s">
        <v>150</v>
      </c>
      <c r="Q131" s="2" t="s">
        <v>97</v>
      </c>
      <c r="R131" s="2" t="s">
        <v>98</v>
      </c>
      <c r="S131" s="2" t="s">
        <v>554</v>
      </c>
      <c r="T131" s="2" t="s">
        <v>98</v>
      </c>
      <c r="U131" s="2" t="s">
        <v>98</v>
      </c>
      <c r="V131" s="2" t="s">
        <v>522</v>
      </c>
      <c r="W131" s="2" t="s">
        <v>102</v>
      </c>
      <c r="X131" s="2" t="s">
        <v>372</v>
      </c>
      <c r="Y131" s="2" t="s">
        <v>532</v>
      </c>
      <c r="Z131" s="4">
        <v>289</v>
      </c>
      <c r="AA131" s="4">
        <f>=ROUNDDOWN(10.7037037037037,0)</f>
      </c>
      <c r="AB131" s="5">
        <v>27</v>
      </c>
      <c r="AC131" s="2" t="s">
        <v>132</v>
      </c>
      <c r="AD131" s="4">
        <v>380</v>
      </c>
      <c r="AE131" s="4">
        <v>564</v>
      </c>
      <c r="AF131" s="6">
        <v>65</v>
      </c>
      <c r="AG131" s="6"/>
      <c r="AH131" s="7">
        <v>0.8222</v>
      </c>
      <c r="AI131" s="4">
        <v>2</v>
      </c>
      <c r="AJ131" s="4">
        <f>=ROUNDDOWN({0},0)</f>
      </c>
      <c r="AK131" s="5"/>
      <c r="AL131" s="2" t="s">
        <v>98</v>
      </c>
      <c r="AM131" s="4"/>
      <c r="AN131" s="4"/>
      <c r="AO131" s="7">
        <v>1</v>
      </c>
      <c r="AP131" s="4">
        <v>2</v>
      </c>
      <c r="AQ131" s="8">
        <v>35</v>
      </c>
      <c r="AR131" s="4"/>
      <c r="AS131" s="8"/>
      <c r="AT131" s="7"/>
      <c r="AU131" s="7"/>
      <c r="AV131" s="4">
        <v>2</v>
      </c>
      <c r="AW131" s="8">
        <v>35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0.0112</v>
      </c>
      <c r="BJ131" s="4">
        <v>329</v>
      </c>
      <c r="BK131" s="8">
        <v>5506.71</v>
      </c>
      <c r="BL131" s="2" t="s">
        <v>555</v>
      </c>
      <c r="BM131" s="7">
        <v>0.0061</v>
      </c>
      <c r="BN131" s="7">
        <v>0.0064</v>
      </c>
      <c r="BO131" s="4">
        <v>2</v>
      </c>
      <c r="BP131" s="8">
        <v>35</v>
      </c>
      <c r="BQ131" s="4"/>
      <c r="BR131" s="8"/>
      <c r="BS131" s="7"/>
      <c r="BT131" s="7"/>
      <c r="BU131" s="2" t="s">
        <v>107</v>
      </c>
      <c r="BV131" s="2" t="s">
        <v>108</v>
      </c>
      <c r="BW131" s="2" t="s">
        <v>524</v>
      </c>
      <c r="BX131" s="2" t="s">
        <v>259</v>
      </c>
      <c r="BY131" s="2" t="s">
        <v>111</v>
      </c>
    </row>
    <row r="132">
      <c r="A132" s="2" t="s">
        <v>556</v>
      </c>
      <c r="B132" s="2" t="s">
        <v>86</v>
      </c>
      <c r="C132" s="2" t="s">
        <v>87</v>
      </c>
      <c r="D132" s="2" t="s">
        <v>88</v>
      </c>
      <c r="E132" s="2" t="s">
        <v>88</v>
      </c>
      <c r="F132" s="2" t="s">
        <v>516</v>
      </c>
      <c r="G132" s="2" t="s">
        <v>517</v>
      </c>
      <c r="H132" s="2" t="s">
        <v>518</v>
      </c>
      <c r="I132" s="2" t="s">
        <v>519</v>
      </c>
      <c r="J132" s="2" t="s">
        <v>93</v>
      </c>
      <c r="K132" s="2" t="s">
        <v>557</v>
      </c>
      <c r="L132" s="3">
        <v>15.75</v>
      </c>
      <c r="M132" s="3">
        <v>16.54</v>
      </c>
      <c r="N132" s="3">
        <v>34.99</v>
      </c>
      <c r="O132" s="2" t="s">
        <v>95</v>
      </c>
      <c r="P132" s="2" t="s">
        <v>150</v>
      </c>
      <c r="Q132" s="2" t="s">
        <v>97</v>
      </c>
      <c r="R132" s="2" t="s">
        <v>98</v>
      </c>
      <c r="S132" s="2" t="s">
        <v>558</v>
      </c>
      <c r="T132" s="2" t="s">
        <v>98</v>
      </c>
      <c r="U132" s="2" t="s">
        <v>98</v>
      </c>
      <c r="V132" s="2" t="s">
        <v>522</v>
      </c>
      <c r="W132" s="2" t="s">
        <v>102</v>
      </c>
      <c r="X132" s="2" t="s">
        <v>372</v>
      </c>
      <c r="Y132" s="2" t="s">
        <v>104</v>
      </c>
      <c r="Z132" s="4">
        <v>145</v>
      </c>
      <c r="AA132" s="4">
        <f>=ROUNDDOWN(6.59090909090909,0)</f>
      </c>
      <c r="AB132" s="5">
        <v>22</v>
      </c>
      <c r="AC132" s="2" t="s">
        <v>264</v>
      </c>
      <c r="AD132" s="4">
        <v>452</v>
      </c>
      <c r="AE132" s="4">
        <v>752</v>
      </c>
      <c r="AF132" s="6">
        <v>65</v>
      </c>
      <c r="AG132" s="6"/>
      <c r="AH132" s="7">
        <v>0.8111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1</v>
      </c>
      <c r="AP132" s="4">
        <v>2</v>
      </c>
      <c r="AQ132" s="8">
        <v>35</v>
      </c>
      <c r="AR132" s="4"/>
      <c r="AS132" s="8"/>
      <c r="AT132" s="7"/>
      <c r="AU132" s="7"/>
      <c r="AV132" s="4">
        <v>2</v>
      </c>
      <c r="AW132" s="8">
        <v>35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0.0112</v>
      </c>
      <c r="BJ132" s="4">
        <v>176</v>
      </c>
      <c r="BK132" s="8">
        <v>2953.05</v>
      </c>
      <c r="BL132" s="2" t="s">
        <v>559</v>
      </c>
      <c r="BM132" s="7">
        <v>0.0114</v>
      </c>
      <c r="BN132" s="7">
        <v>0.0119</v>
      </c>
      <c r="BO132" s="4">
        <v>2</v>
      </c>
      <c r="BP132" s="8">
        <v>35</v>
      </c>
      <c r="BQ132" s="4"/>
      <c r="BR132" s="8"/>
      <c r="BS132" s="7"/>
      <c r="BT132" s="7"/>
      <c r="BU132" s="2" t="s">
        <v>107</v>
      </c>
      <c r="BV132" s="2" t="s">
        <v>108</v>
      </c>
      <c r="BW132" s="2" t="s">
        <v>524</v>
      </c>
      <c r="BX132" s="2" t="s">
        <v>560</v>
      </c>
      <c r="BY132" s="2" t="s">
        <v>111</v>
      </c>
    </row>
    <row r="133">
      <c r="A133" s="2" t="s">
        <v>561</v>
      </c>
      <c r="B133" s="2" t="s">
        <v>86</v>
      </c>
      <c r="C133" s="2" t="s">
        <v>87</v>
      </c>
      <c r="D133" s="2" t="s">
        <v>88</v>
      </c>
      <c r="E133" s="2" t="s">
        <v>88</v>
      </c>
      <c r="F133" s="2" t="s">
        <v>562</v>
      </c>
      <c r="G133" s="2" t="s">
        <v>563</v>
      </c>
      <c r="H133" s="2" t="s">
        <v>564</v>
      </c>
      <c r="I133" s="2" t="s">
        <v>565</v>
      </c>
      <c r="J133" s="2" t="s">
        <v>93</v>
      </c>
      <c r="K133" s="2" t="s">
        <v>458</v>
      </c>
      <c r="L133" s="3">
        <v>15.75</v>
      </c>
      <c r="M133" s="3">
        <v>16.54</v>
      </c>
      <c r="N133" s="3">
        <v>34.99</v>
      </c>
      <c r="O133" s="2" t="s">
        <v>241</v>
      </c>
      <c r="P133" s="2" t="s">
        <v>215</v>
      </c>
      <c r="Q133" s="2" t="s">
        <v>97</v>
      </c>
      <c r="R133" s="2" t="s">
        <v>98</v>
      </c>
      <c r="S133" s="2" t="s">
        <v>566</v>
      </c>
      <c r="T133" s="2" t="s">
        <v>98</v>
      </c>
      <c r="U133" s="2" t="s">
        <v>100</v>
      </c>
      <c r="V133" s="2" t="s">
        <v>101</v>
      </c>
      <c r="W133" s="2" t="s">
        <v>335</v>
      </c>
      <c r="X133" s="2" t="s">
        <v>567</v>
      </c>
      <c r="Y133" s="2" t="s">
        <v>568</v>
      </c>
      <c r="Z133" s="4">
        <v>6</v>
      </c>
      <c r="AA133" s="4">
        <f>=ROUNDDOWN({0},0)</f>
      </c>
      <c r="AB133" s="5"/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68</v>
      </c>
      <c r="AQ133" s="8">
        <v>595</v>
      </c>
      <c r="AR133" s="4">
        <v>7</v>
      </c>
      <c r="AS133" s="8">
        <v>102.9</v>
      </c>
      <c r="AT133" s="7">
        <v>8.7143</v>
      </c>
      <c r="AU133" s="7">
        <v>4.7823</v>
      </c>
      <c r="AV133" s="4">
        <v>68</v>
      </c>
      <c r="AW133" s="8">
        <v>595</v>
      </c>
      <c r="AX133" s="4">
        <v>23</v>
      </c>
      <c r="AY133" s="8">
        <v>360.02</v>
      </c>
      <c r="AZ133" s="7">
        <v>1.9565</v>
      </c>
      <c r="BA133" s="7">
        <v>0.6527</v>
      </c>
      <c r="BB133" s="7">
        <v>1</v>
      </c>
      <c r="BC133" s="4">
        <v>113</v>
      </c>
      <c r="BD133" s="8">
        <v>1260</v>
      </c>
      <c r="BE133" s="4">
        <v>47</v>
      </c>
      <c r="BF133" s="8">
        <v>708</v>
      </c>
      <c r="BG133" s="7">
        <v>1.4043</v>
      </c>
      <c r="BH133" s="7">
        <v>0.7797</v>
      </c>
      <c r="BI133" s="7">
        <v>0.4722</v>
      </c>
      <c r="BJ133" s="4">
        <v>162</v>
      </c>
      <c r="BK133" s="8">
        <v>1945.48</v>
      </c>
      <c r="BL133" s="2" t="s">
        <v>569</v>
      </c>
      <c r="BM133" s="7">
        <v>0.4198</v>
      </c>
      <c r="BN133" s="7">
        <v>0.3058</v>
      </c>
      <c r="BO133" s="4">
        <v>68</v>
      </c>
      <c r="BP133" s="8">
        <v>595</v>
      </c>
      <c r="BQ133" s="4">
        <v>7</v>
      </c>
      <c r="BR133" s="8">
        <v>102.9</v>
      </c>
      <c r="BS133" s="7">
        <v>8.7143</v>
      </c>
      <c r="BT133" s="7">
        <v>4.7823</v>
      </c>
      <c r="BU133" s="2" t="s">
        <v>211</v>
      </c>
      <c r="BV133" s="2" t="s">
        <v>352</v>
      </c>
      <c r="BW133" s="2" t="s">
        <v>570</v>
      </c>
      <c r="BX133" s="2" t="s">
        <v>571</v>
      </c>
      <c r="BY133" s="2" t="s">
        <v>354</v>
      </c>
    </row>
    <row r="134">
      <c r="A134" s="2" t="s">
        <v>572</v>
      </c>
      <c r="B134" s="2" t="s">
        <v>86</v>
      </c>
      <c r="C134" s="2" t="s">
        <v>87</v>
      </c>
      <c r="D134" s="2" t="s">
        <v>88</v>
      </c>
      <c r="E134" s="2" t="s">
        <v>88</v>
      </c>
      <c r="F134" s="2" t="s">
        <v>562</v>
      </c>
      <c r="G134" s="2" t="s">
        <v>563</v>
      </c>
      <c r="H134" s="2" t="s">
        <v>564</v>
      </c>
      <c r="I134" s="2" t="s">
        <v>573</v>
      </c>
      <c r="J134" s="2" t="s">
        <v>113</v>
      </c>
      <c r="K134" s="2" t="s">
        <v>458</v>
      </c>
      <c r="L134" s="3">
        <v>17.6</v>
      </c>
      <c r="M134" s="3">
        <v>18.48</v>
      </c>
      <c r="N134" s="3">
        <v>39.99</v>
      </c>
      <c r="O134" s="2" t="s">
        <v>368</v>
      </c>
      <c r="P134" s="2" t="s">
        <v>215</v>
      </c>
      <c r="Q134" s="2" t="s">
        <v>97</v>
      </c>
      <c r="R134" s="2" t="s">
        <v>98</v>
      </c>
      <c r="S134" s="2" t="s">
        <v>566</v>
      </c>
      <c r="T134" s="2" t="s">
        <v>98</v>
      </c>
      <c r="U134" s="2" t="s">
        <v>100</v>
      </c>
      <c r="V134" s="2" t="s">
        <v>101</v>
      </c>
      <c r="W134" s="2" t="s">
        <v>335</v>
      </c>
      <c r="X134" s="2" t="s">
        <v>567</v>
      </c>
      <c r="Y134" s="2" t="s">
        <v>568</v>
      </c>
      <c r="Z134" s="4"/>
      <c r="AA134" s="4">
        <f>=ROUNDDOWN({0},0)</f>
      </c>
      <c r="AB134" s="5"/>
      <c r="AC134" s="2" t="s">
        <v>98</v>
      </c>
      <c r="AD134" s="4"/>
      <c r="AE134" s="4"/>
      <c r="AF134" s="6">
        <v>65</v>
      </c>
      <c r="AG134" s="6"/>
      <c r="AH134" s="7">
        <v>0.4222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16</v>
      </c>
      <c r="AS134" s="8">
        <v>257.12</v>
      </c>
      <c r="AT134" s="7">
        <v>-1</v>
      </c>
      <c r="AU134" s="7">
        <v>-1</v>
      </c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7</v>
      </c>
      <c r="BK134" s="8">
        <v>132.98</v>
      </c>
      <c r="BL134" s="2" t="s">
        <v>574</v>
      </c>
      <c r="BM134" s="7"/>
      <c r="BN134" s="7"/>
      <c r="BO134" s="4"/>
      <c r="BP134" s="8"/>
      <c r="BQ134" s="4">
        <v>16</v>
      </c>
      <c r="BR134" s="8">
        <v>257.12</v>
      </c>
      <c r="BS134" s="7">
        <v>-1</v>
      </c>
      <c r="BT134" s="7">
        <v>-1</v>
      </c>
      <c r="BU134" s="2" t="s">
        <v>211</v>
      </c>
      <c r="BV134" s="2" t="s">
        <v>352</v>
      </c>
      <c r="BW134" s="2" t="s">
        <v>570</v>
      </c>
      <c r="BX134" s="2" t="s">
        <v>575</v>
      </c>
      <c r="BY134" s="2" t="s">
        <v>111</v>
      </c>
    </row>
    <row r="135">
      <c r="A135" s="2" t="s">
        <v>576</v>
      </c>
      <c r="B135" s="2" t="s">
        <v>86</v>
      </c>
      <c r="C135" s="2" t="s">
        <v>87</v>
      </c>
      <c r="D135" s="2" t="s">
        <v>88</v>
      </c>
      <c r="E135" s="2" t="s">
        <v>88</v>
      </c>
      <c r="F135" s="2" t="s">
        <v>562</v>
      </c>
      <c r="G135" s="2" t="s">
        <v>563</v>
      </c>
      <c r="H135" s="2" t="s">
        <v>564</v>
      </c>
      <c r="I135" s="2" t="s">
        <v>565</v>
      </c>
      <c r="J135" s="2" t="s">
        <v>331</v>
      </c>
      <c r="K135" s="2" t="s">
        <v>557</v>
      </c>
      <c r="L135" s="3">
        <v>13.5</v>
      </c>
      <c r="M135" s="3">
        <v>14.18</v>
      </c>
      <c r="N135" s="3">
        <v>29.99</v>
      </c>
      <c r="O135" s="2" t="s">
        <v>95</v>
      </c>
      <c r="P135" s="2" t="s">
        <v>150</v>
      </c>
      <c r="Q135" s="2" t="s">
        <v>97</v>
      </c>
      <c r="R135" s="2" t="s">
        <v>98</v>
      </c>
      <c r="S135" s="2" t="s">
        <v>577</v>
      </c>
      <c r="T135" s="2" t="s">
        <v>98</v>
      </c>
      <c r="U135" s="2" t="s">
        <v>100</v>
      </c>
      <c r="V135" s="2" t="s">
        <v>101</v>
      </c>
      <c r="W135" s="2" t="s">
        <v>335</v>
      </c>
      <c r="X135" s="2" t="s">
        <v>372</v>
      </c>
      <c r="Y135" s="2" t="s">
        <v>568</v>
      </c>
      <c r="Z135" s="4">
        <v>95</v>
      </c>
      <c r="AA135" s="4">
        <f>=ROUNDDOWN(11.875,0)</f>
      </c>
      <c r="AB135" s="5">
        <v>8</v>
      </c>
      <c r="AC135" s="2" t="s">
        <v>489</v>
      </c>
      <c r="AD135" s="4">
        <v>260</v>
      </c>
      <c r="AE135" s="4">
        <v>260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5</v>
      </c>
      <c r="AQ135" s="8">
        <v>75</v>
      </c>
      <c r="AR135" s="4">
        <v>7</v>
      </c>
      <c r="AS135" s="8">
        <v>85.75</v>
      </c>
      <c r="AT135" s="7">
        <v>-0.2857</v>
      </c>
      <c r="AU135" s="7">
        <v>-0.1254</v>
      </c>
      <c r="AV135" s="4">
        <v>31</v>
      </c>
      <c r="AW135" s="8">
        <v>530</v>
      </c>
      <c r="AX135" s="4">
        <v>13</v>
      </c>
      <c r="AY135" s="8">
        <v>173.95</v>
      </c>
      <c r="AZ135" s="7">
        <v>1.3846</v>
      </c>
      <c r="BA135" s="7">
        <v>2.0469</v>
      </c>
      <c r="BB135" s="7">
        <v>0.1415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0.4206</v>
      </c>
      <c r="BJ135" s="4">
        <v>64</v>
      </c>
      <c r="BK135" s="8">
        <v>933.68</v>
      </c>
      <c r="BL135" s="2" t="s">
        <v>578</v>
      </c>
      <c r="BM135" s="7">
        <v>0.0781</v>
      </c>
      <c r="BN135" s="7">
        <v>0.0803</v>
      </c>
      <c r="BO135" s="4">
        <v>5</v>
      </c>
      <c r="BP135" s="8">
        <v>75</v>
      </c>
      <c r="BQ135" s="4">
        <v>7</v>
      </c>
      <c r="BR135" s="8">
        <v>85.75</v>
      </c>
      <c r="BS135" s="7">
        <v>-0.2857</v>
      </c>
      <c r="BT135" s="7">
        <v>-0.1254</v>
      </c>
      <c r="BU135" s="2" t="s">
        <v>107</v>
      </c>
      <c r="BV135" s="2" t="s">
        <v>108</v>
      </c>
      <c r="BW135" s="2" t="s">
        <v>570</v>
      </c>
      <c r="BX135" s="2" t="s">
        <v>579</v>
      </c>
      <c r="BY135" s="2" t="s">
        <v>111</v>
      </c>
    </row>
    <row r="136">
      <c r="A136" s="2" t="s">
        <v>580</v>
      </c>
      <c r="B136" s="2" t="s">
        <v>86</v>
      </c>
      <c r="C136" s="2" t="s">
        <v>87</v>
      </c>
      <c r="D136" s="2" t="s">
        <v>88</v>
      </c>
      <c r="E136" s="2" t="s">
        <v>88</v>
      </c>
      <c r="F136" s="2" t="s">
        <v>562</v>
      </c>
      <c r="G136" s="2" t="s">
        <v>563</v>
      </c>
      <c r="H136" s="2" t="s">
        <v>564</v>
      </c>
      <c r="I136" s="2" t="s">
        <v>565</v>
      </c>
      <c r="J136" s="2" t="s">
        <v>93</v>
      </c>
      <c r="K136" s="2" t="s">
        <v>557</v>
      </c>
      <c r="L136" s="3">
        <v>15.75</v>
      </c>
      <c r="M136" s="3">
        <v>16.54</v>
      </c>
      <c r="N136" s="3">
        <v>34.99</v>
      </c>
      <c r="O136" s="2" t="s">
        <v>95</v>
      </c>
      <c r="P136" s="2" t="s">
        <v>150</v>
      </c>
      <c r="Q136" s="2" t="s">
        <v>97</v>
      </c>
      <c r="R136" s="2" t="s">
        <v>98</v>
      </c>
      <c r="S136" s="2" t="s">
        <v>577</v>
      </c>
      <c r="T136" s="2" t="s">
        <v>98</v>
      </c>
      <c r="U136" s="2" t="s">
        <v>100</v>
      </c>
      <c r="V136" s="2" t="s">
        <v>101</v>
      </c>
      <c r="W136" s="2" t="s">
        <v>335</v>
      </c>
      <c r="X136" s="2" t="s">
        <v>372</v>
      </c>
      <c r="Y136" s="2" t="s">
        <v>568</v>
      </c>
      <c r="Z136" s="4">
        <v>256</v>
      </c>
      <c r="AA136" s="4">
        <f>=ROUNDDOWN(19.6923076923077,0)</f>
      </c>
      <c r="AB136" s="5">
        <v>13</v>
      </c>
      <c r="AC136" s="2" t="s">
        <v>224</v>
      </c>
      <c r="AD136" s="4">
        <v>184</v>
      </c>
      <c r="AE136" s="4">
        <v>184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26</v>
      </c>
      <c r="AQ136" s="8">
        <v>455</v>
      </c>
      <c r="AR136" s="4">
        <v>6</v>
      </c>
      <c r="AS136" s="8">
        <v>88.2</v>
      </c>
      <c r="AT136" s="7">
        <v>3.3333</v>
      </c>
      <c r="AU136" s="7">
        <v>4.1587</v>
      </c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0.8585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259</v>
      </c>
      <c r="BK136" s="8">
        <v>4400.48</v>
      </c>
      <c r="BL136" s="2" t="s">
        <v>581</v>
      </c>
      <c r="BM136" s="7">
        <v>0.1004</v>
      </c>
      <c r="BN136" s="7">
        <v>0.1034</v>
      </c>
      <c r="BO136" s="4">
        <v>26</v>
      </c>
      <c r="BP136" s="8">
        <v>455</v>
      </c>
      <c r="BQ136" s="4">
        <v>6</v>
      </c>
      <c r="BR136" s="8">
        <v>88.2</v>
      </c>
      <c r="BS136" s="7">
        <v>3.3333</v>
      </c>
      <c r="BT136" s="7">
        <v>4.1587</v>
      </c>
      <c r="BU136" s="2" t="s">
        <v>107</v>
      </c>
      <c r="BV136" s="2" t="s">
        <v>108</v>
      </c>
      <c r="BW136" s="2" t="s">
        <v>570</v>
      </c>
      <c r="BX136" s="2" t="s">
        <v>582</v>
      </c>
      <c r="BY136" s="2" t="s">
        <v>111</v>
      </c>
    </row>
    <row r="137">
      <c r="A137" s="2" t="s">
        <v>583</v>
      </c>
      <c r="B137" s="2" t="s">
        <v>86</v>
      </c>
      <c r="C137" s="2" t="s">
        <v>87</v>
      </c>
      <c r="D137" s="2" t="s">
        <v>88</v>
      </c>
      <c r="E137" s="2" t="s">
        <v>88</v>
      </c>
      <c r="F137" s="2" t="s">
        <v>562</v>
      </c>
      <c r="G137" s="2" t="s">
        <v>563</v>
      </c>
      <c r="H137" s="2" t="s">
        <v>564</v>
      </c>
      <c r="I137" s="2" t="s">
        <v>565</v>
      </c>
      <c r="J137" s="2" t="s">
        <v>331</v>
      </c>
      <c r="K137" s="2" t="s">
        <v>247</v>
      </c>
      <c r="L137" s="3">
        <v>13.5</v>
      </c>
      <c r="M137" s="3">
        <v>14.18</v>
      </c>
      <c r="N137" s="3">
        <v>29.99</v>
      </c>
      <c r="O137" s="2" t="s">
        <v>241</v>
      </c>
      <c r="P137" s="2" t="s">
        <v>215</v>
      </c>
      <c r="Q137" s="2" t="s">
        <v>97</v>
      </c>
      <c r="R137" s="2" t="s">
        <v>98</v>
      </c>
      <c r="S137" s="2" t="s">
        <v>584</v>
      </c>
      <c r="T137" s="2" t="s">
        <v>98</v>
      </c>
      <c r="U137" s="2" t="s">
        <v>100</v>
      </c>
      <c r="V137" s="2" t="s">
        <v>101</v>
      </c>
      <c r="W137" s="2" t="s">
        <v>335</v>
      </c>
      <c r="X137" s="2" t="s">
        <v>567</v>
      </c>
      <c r="Y137" s="2" t="s">
        <v>568</v>
      </c>
      <c r="Z137" s="4">
        <v>3</v>
      </c>
      <c r="AA137" s="4">
        <f>=ROUNDDOWN(0.127118644067797,0)</f>
      </c>
      <c r="AB137" s="5">
        <v>23.6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10</v>
      </c>
      <c r="AQ137" s="8">
        <v>75</v>
      </c>
      <c r="AR137" s="4"/>
      <c r="AS137" s="8"/>
      <c r="AT137" s="7"/>
      <c r="AU137" s="7"/>
      <c r="AV137" s="4">
        <v>14</v>
      </c>
      <c r="AW137" s="8">
        <v>135</v>
      </c>
      <c r="AX137" s="4">
        <v>11</v>
      </c>
      <c r="AY137" s="8">
        <v>174.03</v>
      </c>
      <c r="AZ137" s="7">
        <v>0.2727</v>
      </c>
      <c r="BA137" s="7">
        <v>-0.2243</v>
      </c>
      <c r="BB137" s="7">
        <v>0.5556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0.1071</v>
      </c>
      <c r="BJ137" s="4">
        <v>19</v>
      </c>
      <c r="BK137" s="8">
        <v>184.92</v>
      </c>
      <c r="BL137" s="2" t="s">
        <v>585</v>
      </c>
      <c r="BM137" s="7">
        <v>0.5263</v>
      </c>
      <c r="BN137" s="7">
        <v>0.4056</v>
      </c>
      <c r="BO137" s="4">
        <v>10</v>
      </c>
      <c r="BP137" s="8">
        <v>75</v>
      </c>
      <c r="BQ137" s="4"/>
      <c r="BR137" s="8"/>
      <c r="BS137" s="7"/>
      <c r="BT137" s="7"/>
      <c r="BU137" s="2" t="s">
        <v>211</v>
      </c>
      <c r="BV137" s="2" t="s">
        <v>352</v>
      </c>
      <c r="BW137" s="2" t="s">
        <v>570</v>
      </c>
      <c r="BX137" s="2" t="s">
        <v>586</v>
      </c>
      <c r="BY137" s="2" t="s">
        <v>354</v>
      </c>
    </row>
    <row r="138">
      <c r="A138" s="2" t="s">
        <v>587</v>
      </c>
      <c r="B138" s="2" t="s">
        <v>86</v>
      </c>
      <c r="C138" s="2" t="s">
        <v>87</v>
      </c>
      <c r="D138" s="2" t="s">
        <v>88</v>
      </c>
      <c r="E138" s="2" t="s">
        <v>88</v>
      </c>
      <c r="F138" s="2" t="s">
        <v>562</v>
      </c>
      <c r="G138" s="2" t="s">
        <v>563</v>
      </c>
      <c r="H138" s="2" t="s">
        <v>564</v>
      </c>
      <c r="I138" s="2" t="s">
        <v>573</v>
      </c>
      <c r="J138" s="2" t="s">
        <v>93</v>
      </c>
      <c r="K138" s="2" t="s">
        <v>247</v>
      </c>
      <c r="L138" s="3">
        <v>15.75</v>
      </c>
      <c r="M138" s="3">
        <v>16.54</v>
      </c>
      <c r="N138" s="3">
        <v>34.99</v>
      </c>
      <c r="O138" s="2" t="s">
        <v>368</v>
      </c>
      <c r="P138" s="2" t="s">
        <v>215</v>
      </c>
      <c r="Q138" s="2" t="s">
        <v>97</v>
      </c>
      <c r="R138" s="2" t="s">
        <v>98</v>
      </c>
      <c r="S138" s="2" t="s">
        <v>584</v>
      </c>
      <c r="T138" s="2" t="s">
        <v>98</v>
      </c>
      <c r="U138" s="2" t="s">
        <v>100</v>
      </c>
      <c r="V138" s="2" t="s">
        <v>101</v>
      </c>
      <c r="W138" s="2" t="s">
        <v>335</v>
      </c>
      <c r="X138" s="2" t="s">
        <v>567</v>
      </c>
      <c r="Y138" s="2" t="s">
        <v>568</v>
      </c>
      <c r="Z138" s="4">
        <v>1</v>
      </c>
      <c r="AA138" s="4">
        <f>=ROUNDDOWN({0},0)</f>
      </c>
      <c r="AB138" s="5"/>
      <c r="AC138" s="2" t="s">
        <v>98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2</v>
      </c>
      <c r="AS138" s="8">
        <v>29.4</v>
      </c>
      <c r="AT138" s="7">
        <v>-1</v>
      </c>
      <c r="AU138" s="7">
        <v>-1</v>
      </c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/>
      <c r="BK138" s="8"/>
      <c r="BL138" s="2" t="s">
        <v>588</v>
      </c>
      <c r="BM138" s="7"/>
      <c r="BN138" s="7"/>
      <c r="BO138" s="4"/>
      <c r="BP138" s="8"/>
      <c r="BQ138" s="4">
        <v>2</v>
      </c>
      <c r="BR138" s="8">
        <v>29.4</v>
      </c>
      <c r="BS138" s="7">
        <v>-1</v>
      </c>
      <c r="BT138" s="7">
        <v>-1</v>
      </c>
      <c r="BU138" s="2" t="s">
        <v>211</v>
      </c>
      <c r="BV138" s="2" t="s">
        <v>352</v>
      </c>
      <c r="BW138" s="2" t="s">
        <v>570</v>
      </c>
      <c r="BX138" s="2" t="s">
        <v>589</v>
      </c>
      <c r="BY138" s="2" t="s">
        <v>354</v>
      </c>
    </row>
    <row r="139">
      <c r="A139" s="2" t="s">
        <v>590</v>
      </c>
      <c r="B139" s="2" t="s">
        <v>86</v>
      </c>
      <c r="C139" s="2" t="s">
        <v>87</v>
      </c>
      <c r="D139" s="2" t="s">
        <v>88</v>
      </c>
      <c r="E139" s="2" t="s">
        <v>88</v>
      </c>
      <c r="F139" s="2" t="s">
        <v>562</v>
      </c>
      <c r="G139" s="2" t="s">
        <v>563</v>
      </c>
      <c r="H139" s="2" t="s">
        <v>564</v>
      </c>
      <c r="I139" s="2" t="s">
        <v>565</v>
      </c>
      <c r="J139" s="2" t="s">
        <v>113</v>
      </c>
      <c r="K139" s="2" t="s">
        <v>247</v>
      </c>
      <c r="L139" s="3">
        <v>17.6</v>
      </c>
      <c r="M139" s="3">
        <v>18.48</v>
      </c>
      <c r="N139" s="3">
        <v>39.99</v>
      </c>
      <c r="O139" s="2" t="s">
        <v>241</v>
      </c>
      <c r="P139" s="2" t="s">
        <v>215</v>
      </c>
      <c r="Q139" s="2" t="s">
        <v>97</v>
      </c>
      <c r="R139" s="2" t="s">
        <v>98</v>
      </c>
      <c r="S139" s="2" t="s">
        <v>584</v>
      </c>
      <c r="T139" s="2" t="s">
        <v>98</v>
      </c>
      <c r="U139" s="2" t="s">
        <v>100</v>
      </c>
      <c r="V139" s="2" t="s">
        <v>101</v>
      </c>
      <c r="W139" s="2" t="s">
        <v>335</v>
      </c>
      <c r="X139" s="2" t="s">
        <v>567</v>
      </c>
      <c r="Y139" s="2" t="s">
        <v>568</v>
      </c>
      <c r="Z139" s="4">
        <v>1</v>
      </c>
      <c r="AA139" s="4">
        <f>=ROUNDDOWN(0.0625,0)</f>
      </c>
      <c r="AB139" s="5">
        <v>16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4</v>
      </c>
      <c r="AQ139" s="8">
        <v>60</v>
      </c>
      <c r="AR139" s="4">
        <v>9</v>
      </c>
      <c r="AS139" s="8">
        <v>144.63</v>
      </c>
      <c r="AT139" s="7">
        <v>-0.5556</v>
      </c>
      <c r="AU139" s="7">
        <v>-0.5851</v>
      </c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0.4444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18</v>
      </c>
      <c r="BK139" s="8">
        <v>262.39</v>
      </c>
      <c r="BL139" s="2" t="s">
        <v>591</v>
      </c>
      <c r="BM139" s="7">
        <v>0.2222</v>
      </c>
      <c r="BN139" s="7">
        <v>0.2287</v>
      </c>
      <c r="BO139" s="4">
        <v>4</v>
      </c>
      <c r="BP139" s="8">
        <v>60</v>
      </c>
      <c r="BQ139" s="4">
        <v>9</v>
      </c>
      <c r="BR139" s="8">
        <v>144.63</v>
      </c>
      <c r="BS139" s="7">
        <v>-0.5556</v>
      </c>
      <c r="BT139" s="7">
        <v>-0.5851</v>
      </c>
      <c r="BU139" s="2" t="s">
        <v>211</v>
      </c>
      <c r="BV139" s="2" t="s">
        <v>352</v>
      </c>
      <c r="BW139" s="2" t="s">
        <v>570</v>
      </c>
      <c r="BX139" s="2" t="s">
        <v>592</v>
      </c>
      <c r="BY139" s="2" t="s">
        <v>354</v>
      </c>
    </row>
    <row r="140">
      <c r="A140" s="2" t="s">
        <v>593</v>
      </c>
      <c r="B140" s="2" t="s">
        <v>86</v>
      </c>
      <c r="C140" s="2" t="s">
        <v>87</v>
      </c>
      <c r="D140" s="2" t="s">
        <v>88</v>
      </c>
      <c r="E140" s="2" t="s">
        <v>88</v>
      </c>
      <c r="F140" s="2" t="s">
        <v>594</v>
      </c>
      <c r="G140" s="2" t="s">
        <v>595</v>
      </c>
      <c r="H140" s="2" t="s">
        <v>596</v>
      </c>
      <c r="I140" s="2" t="s">
        <v>597</v>
      </c>
      <c r="J140" s="2" t="s">
        <v>93</v>
      </c>
      <c r="K140" s="2" t="s">
        <v>557</v>
      </c>
      <c r="L140" s="3">
        <v>15.5</v>
      </c>
      <c r="M140" s="3">
        <v>16.28</v>
      </c>
      <c r="N140" s="3">
        <v>34.99</v>
      </c>
      <c r="O140" s="2" t="s">
        <v>95</v>
      </c>
      <c r="P140" s="2" t="s">
        <v>150</v>
      </c>
      <c r="Q140" s="2" t="s">
        <v>97</v>
      </c>
      <c r="R140" s="2" t="s">
        <v>98</v>
      </c>
      <c r="S140" s="2" t="s">
        <v>598</v>
      </c>
      <c r="T140" s="2" t="s">
        <v>98</v>
      </c>
      <c r="U140" s="2" t="s">
        <v>100</v>
      </c>
      <c r="V140" s="2" t="s">
        <v>101</v>
      </c>
      <c r="W140" s="2" t="s">
        <v>567</v>
      </c>
      <c r="X140" s="2" t="s">
        <v>372</v>
      </c>
      <c r="Y140" s="2" t="s">
        <v>599</v>
      </c>
      <c r="Z140" s="4">
        <v>444</v>
      </c>
      <c r="AA140" s="4">
        <f>=ROUNDDOWN(12.6857142857143,0)</f>
      </c>
      <c r="AB140" s="5">
        <v>35</v>
      </c>
      <c r="AC140" s="2" t="s">
        <v>224</v>
      </c>
      <c r="AD140" s="4">
        <v>300</v>
      </c>
      <c r="AE140" s="4">
        <v>1100</v>
      </c>
      <c r="AF140" s="6">
        <v>65</v>
      </c>
      <c r="AG140" s="6"/>
      <c r="AH140" s="7">
        <v>0.8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36</v>
      </c>
      <c r="AQ140" s="8">
        <v>615.24</v>
      </c>
      <c r="AR140" s="4"/>
      <c r="AS140" s="8"/>
      <c r="AT140" s="7"/>
      <c r="AU140" s="7"/>
      <c r="AV140" s="4">
        <v>67</v>
      </c>
      <c r="AW140" s="8">
        <v>1193.43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0.6444</v>
      </c>
      <c r="BC140" s="4">
        <v>67</v>
      </c>
      <c r="BD140" s="8">
        <v>1193.43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275</v>
      </c>
      <c r="BK140" s="8">
        <v>4654.61</v>
      </c>
      <c r="BL140" s="2" t="s">
        <v>600</v>
      </c>
      <c r="BM140" s="7">
        <v>0.1309</v>
      </c>
      <c r="BN140" s="7">
        <v>0.1322</v>
      </c>
      <c r="BO140" s="4">
        <v>36</v>
      </c>
      <c r="BP140" s="8">
        <v>615.24</v>
      </c>
      <c r="BQ140" s="4"/>
      <c r="BR140" s="8"/>
      <c r="BS140" s="7"/>
      <c r="BT140" s="7"/>
      <c r="BU140" s="2" t="s">
        <v>107</v>
      </c>
      <c r="BV140" s="2" t="s">
        <v>108</v>
      </c>
      <c r="BW140" s="2" t="s">
        <v>601</v>
      </c>
      <c r="BX140" s="2" t="s">
        <v>602</v>
      </c>
      <c r="BY140" s="2" t="s">
        <v>111</v>
      </c>
    </row>
    <row r="141">
      <c r="A141" s="2" t="s">
        <v>603</v>
      </c>
      <c r="B141" s="2" t="s">
        <v>86</v>
      </c>
      <c r="C141" s="2" t="s">
        <v>87</v>
      </c>
      <c r="D141" s="2" t="s">
        <v>88</v>
      </c>
      <c r="E141" s="2" t="s">
        <v>88</v>
      </c>
      <c r="F141" s="2" t="s">
        <v>594</v>
      </c>
      <c r="G141" s="2" t="s">
        <v>595</v>
      </c>
      <c r="H141" s="2" t="s">
        <v>596</v>
      </c>
      <c r="I141" s="2" t="s">
        <v>604</v>
      </c>
      <c r="J141" s="2" t="s">
        <v>93</v>
      </c>
      <c r="K141" s="2" t="s">
        <v>557</v>
      </c>
      <c r="L141" s="3">
        <v>15.5</v>
      </c>
      <c r="M141" s="3">
        <v>16.28</v>
      </c>
      <c r="N141" s="3">
        <v>34.99</v>
      </c>
      <c r="O141" s="2" t="s">
        <v>95</v>
      </c>
      <c r="P141" s="2" t="s">
        <v>150</v>
      </c>
      <c r="Q141" s="2" t="s">
        <v>97</v>
      </c>
      <c r="R141" s="2" t="s">
        <v>98</v>
      </c>
      <c r="S141" s="2" t="s">
        <v>598</v>
      </c>
      <c r="T141" s="2" t="s">
        <v>98</v>
      </c>
      <c r="U141" s="2" t="s">
        <v>100</v>
      </c>
      <c r="V141" s="2" t="s">
        <v>101</v>
      </c>
      <c r="W141" s="2" t="s">
        <v>567</v>
      </c>
      <c r="X141" s="2" t="s">
        <v>372</v>
      </c>
      <c r="Y141" s="2" t="s">
        <v>599</v>
      </c>
      <c r="Z141" s="4">
        <v>83</v>
      </c>
      <c r="AA141" s="4">
        <f>=ROUNDDOWN(13.8333333333333,0)</f>
      </c>
      <c r="AB141" s="5">
        <v>6</v>
      </c>
      <c r="AC141" s="2" t="s">
        <v>309</v>
      </c>
      <c r="AD141" s="4">
        <v>160</v>
      </c>
      <c r="AE141" s="4">
        <v>160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9</v>
      </c>
      <c r="AQ141" s="8">
        <v>153.81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 t="s">
        <v>98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67</v>
      </c>
      <c r="BK141" s="8">
        <v>1132.14</v>
      </c>
      <c r="BL141" s="2" t="s">
        <v>605</v>
      </c>
      <c r="BM141" s="7">
        <v>0.1343</v>
      </c>
      <c r="BN141" s="7">
        <v>0.1359</v>
      </c>
      <c r="BO141" s="4">
        <v>9</v>
      </c>
      <c r="BP141" s="8">
        <v>153.81</v>
      </c>
      <c r="BQ141" s="4"/>
      <c r="BR141" s="8"/>
      <c r="BS141" s="7"/>
      <c r="BT141" s="7"/>
      <c r="BU141" s="2" t="s">
        <v>107</v>
      </c>
      <c r="BV141" s="2" t="s">
        <v>108</v>
      </c>
      <c r="BW141" s="2" t="s">
        <v>606</v>
      </c>
      <c r="BX141" s="2" t="s">
        <v>607</v>
      </c>
      <c r="BY141" s="2" t="s">
        <v>111</v>
      </c>
    </row>
    <row r="142">
      <c r="A142" s="2" t="s">
        <v>608</v>
      </c>
      <c r="B142" s="2" t="s">
        <v>86</v>
      </c>
      <c r="C142" s="2" t="s">
        <v>87</v>
      </c>
      <c r="D142" s="2" t="s">
        <v>88</v>
      </c>
      <c r="E142" s="2" t="s">
        <v>88</v>
      </c>
      <c r="F142" s="2" t="s">
        <v>594</v>
      </c>
      <c r="G142" s="2" t="s">
        <v>595</v>
      </c>
      <c r="H142" s="2" t="s">
        <v>596</v>
      </c>
      <c r="I142" s="2" t="s">
        <v>597</v>
      </c>
      <c r="J142" s="2" t="s">
        <v>113</v>
      </c>
      <c r="K142" s="2" t="s">
        <v>557</v>
      </c>
      <c r="L142" s="3">
        <v>17.5</v>
      </c>
      <c r="M142" s="3">
        <v>18.38</v>
      </c>
      <c r="N142" s="3">
        <v>39.99</v>
      </c>
      <c r="O142" s="2" t="s">
        <v>95</v>
      </c>
      <c r="P142" s="2" t="s">
        <v>150</v>
      </c>
      <c r="Q142" s="2" t="s">
        <v>97</v>
      </c>
      <c r="R142" s="2" t="s">
        <v>98</v>
      </c>
      <c r="S142" s="2" t="s">
        <v>598</v>
      </c>
      <c r="T142" s="2" t="s">
        <v>98</v>
      </c>
      <c r="U142" s="2" t="s">
        <v>100</v>
      </c>
      <c r="V142" s="2" t="s">
        <v>101</v>
      </c>
      <c r="W142" s="2" t="s">
        <v>567</v>
      </c>
      <c r="X142" s="2" t="s">
        <v>372</v>
      </c>
      <c r="Y142" s="2" t="s">
        <v>599</v>
      </c>
      <c r="Z142" s="4">
        <v>222</v>
      </c>
      <c r="AA142" s="4">
        <f>=ROUNDDOWN(8.88,0)</f>
      </c>
      <c r="AB142" s="5">
        <v>25</v>
      </c>
      <c r="AC142" s="2" t="s">
        <v>224</v>
      </c>
      <c r="AD142" s="4">
        <v>436</v>
      </c>
      <c r="AE142" s="4">
        <v>824</v>
      </c>
      <c r="AF142" s="6">
        <v>65</v>
      </c>
      <c r="AG142" s="6"/>
      <c r="AH142" s="7">
        <v>0.8778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22</v>
      </c>
      <c r="AQ142" s="8">
        <v>424.38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0.3556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310</v>
      </c>
      <c r="BK142" s="8">
        <v>5937.3</v>
      </c>
      <c r="BL142" s="2" t="s">
        <v>609</v>
      </c>
      <c r="BM142" s="7">
        <v>0.071</v>
      </c>
      <c r="BN142" s="7">
        <v>0.0715</v>
      </c>
      <c r="BO142" s="4">
        <v>22</v>
      </c>
      <c r="BP142" s="8">
        <v>424.38</v>
      </c>
      <c r="BQ142" s="4"/>
      <c r="BR142" s="8"/>
      <c r="BS142" s="7"/>
      <c r="BT142" s="7"/>
      <c r="BU142" s="2" t="s">
        <v>107</v>
      </c>
      <c r="BV142" s="2" t="s">
        <v>108</v>
      </c>
      <c r="BW142" s="2" t="s">
        <v>601</v>
      </c>
      <c r="BX142" s="2" t="s">
        <v>610</v>
      </c>
      <c r="BY142" s="2" t="s">
        <v>111</v>
      </c>
    </row>
    <row r="143">
      <c r="A143" s="2" t="s">
        <v>611</v>
      </c>
      <c r="B143" s="2" t="s">
        <v>86</v>
      </c>
      <c r="C143" s="2" t="s">
        <v>87</v>
      </c>
      <c r="D143" s="2" t="s">
        <v>88</v>
      </c>
      <c r="E143" s="2" t="s">
        <v>88</v>
      </c>
      <c r="F143" s="2" t="s">
        <v>612</v>
      </c>
      <c r="G143" s="2" t="s">
        <v>613</v>
      </c>
      <c r="H143" s="2" t="s">
        <v>614</v>
      </c>
      <c r="I143" s="2" t="s">
        <v>615</v>
      </c>
      <c r="J143" s="2" t="s">
        <v>331</v>
      </c>
      <c r="K143" s="2" t="s">
        <v>214</v>
      </c>
      <c r="L143" s="3">
        <v>13.76</v>
      </c>
      <c r="M143" s="3">
        <v>14.45</v>
      </c>
      <c r="N143" s="3">
        <v>31.99</v>
      </c>
      <c r="O143" s="2" t="s">
        <v>368</v>
      </c>
      <c r="P143" s="2" t="s">
        <v>215</v>
      </c>
      <c r="Q143" s="2" t="s">
        <v>97</v>
      </c>
      <c r="R143" s="2" t="s">
        <v>98</v>
      </c>
      <c r="S143" s="2" t="s">
        <v>616</v>
      </c>
      <c r="T143" s="2" t="s">
        <v>98</v>
      </c>
      <c r="U143" s="2" t="s">
        <v>98</v>
      </c>
      <c r="V143" s="2" t="s">
        <v>617</v>
      </c>
      <c r="W143" s="2" t="s">
        <v>335</v>
      </c>
      <c r="X143" s="2" t="s">
        <v>98</v>
      </c>
      <c r="Y143" s="2" t="s">
        <v>618</v>
      </c>
      <c r="Z143" s="4"/>
      <c r="AA143" s="4">
        <f>=ROUNDDOWN({0},0)</f>
      </c>
      <c r="AB143" s="5">
        <v>7.7</v>
      </c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29</v>
      </c>
      <c r="AQ143" s="8">
        <v>312.62</v>
      </c>
      <c r="AR143" s="4">
        <v>21</v>
      </c>
      <c r="AS143" s="8">
        <v>260.4</v>
      </c>
      <c r="AT143" s="7">
        <v>0.381</v>
      </c>
      <c r="AU143" s="7">
        <v>0.2005</v>
      </c>
      <c r="AV143" s="4">
        <v>39</v>
      </c>
      <c r="AW143" s="8">
        <v>512.42</v>
      </c>
      <c r="AX143" s="4">
        <v>84</v>
      </c>
      <c r="AY143" s="8">
        <v>1202.43</v>
      </c>
      <c r="AZ143" s="7">
        <v>-0.5357</v>
      </c>
      <c r="BA143" s="7">
        <v>-0.5738</v>
      </c>
      <c r="BB143" s="7">
        <v>0.6101</v>
      </c>
      <c r="BC143" s="4">
        <v>68</v>
      </c>
      <c r="BD143" s="8">
        <v>813.14</v>
      </c>
      <c r="BE143" s="4">
        <v>163</v>
      </c>
      <c r="BF143" s="8">
        <v>2394.58</v>
      </c>
      <c r="BG143" s="7">
        <v>-0.5828</v>
      </c>
      <c r="BH143" s="7">
        <v>-0.6604</v>
      </c>
      <c r="BI143" s="7">
        <v>0.6302</v>
      </c>
      <c r="BJ143" s="4">
        <v>97</v>
      </c>
      <c r="BK143" s="8">
        <v>1107.07</v>
      </c>
      <c r="BL143" s="2" t="s">
        <v>619</v>
      </c>
      <c r="BM143" s="7">
        <v>0.299</v>
      </c>
      <c r="BN143" s="7">
        <v>0.2824</v>
      </c>
      <c r="BO143" s="4">
        <v>29</v>
      </c>
      <c r="BP143" s="8">
        <v>312.62</v>
      </c>
      <c r="BQ143" s="4">
        <v>21</v>
      </c>
      <c r="BR143" s="8">
        <v>260.4</v>
      </c>
      <c r="BS143" s="7">
        <v>0.381</v>
      </c>
      <c r="BT143" s="7">
        <v>0.2005</v>
      </c>
      <c r="BU143" s="2" t="s">
        <v>211</v>
      </c>
      <c r="BV143" s="2" t="s">
        <v>352</v>
      </c>
      <c r="BW143" s="2" t="s">
        <v>524</v>
      </c>
      <c r="BX143" s="2" t="s">
        <v>620</v>
      </c>
      <c r="BY143" s="2" t="s">
        <v>354</v>
      </c>
    </row>
    <row r="144">
      <c r="A144" s="2" t="s">
        <v>621</v>
      </c>
      <c r="B144" s="2" t="s">
        <v>86</v>
      </c>
      <c r="C144" s="2" t="s">
        <v>87</v>
      </c>
      <c r="D144" s="2" t="s">
        <v>88</v>
      </c>
      <c r="E144" s="2" t="s">
        <v>88</v>
      </c>
      <c r="F144" s="2" t="s">
        <v>612</v>
      </c>
      <c r="G144" s="2" t="s">
        <v>613</v>
      </c>
      <c r="H144" s="2" t="s">
        <v>614</v>
      </c>
      <c r="I144" s="2" t="s">
        <v>615</v>
      </c>
      <c r="J144" s="2" t="s">
        <v>93</v>
      </c>
      <c r="K144" s="2" t="s">
        <v>214</v>
      </c>
      <c r="L144" s="3">
        <v>16.65</v>
      </c>
      <c r="M144" s="3">
        <v>17.48</v>
      </c>
      <c r="N144" s="3">
        <v>36.99</v>
      </c>
      <c r="O144" s="2" t="s">
        <v>95</v>
      </c>
      <c r="P144" s="2" t="s">
        <v>150</v>
      </c>
      <c r="Q144" s="2" t="s">
        <v>97</v>
      </c>
      <c r="R144" s="2" t="s">
        <v>98</v>
      </c>
      <c r="S144" s="2" t="s">
        <v>616</v>
      </c>
      <c r="T144" s="2" t="s">
        <v>98</v>
      </c>
      <c r="U144" s="2" t="s">
        <v>98</v>
      </c>
      <c r="V144" s="2" t="s">
        <v>617</v>
      </c>
      <c r="W144" s="2" t="s">
        <v>335</v>
      </c>
      <c r="X144" s="2" t="s">
        <v>372</v>
      </c>
      <c r="Y144" s="2" t="s">
        <v>618</v>
      </c>
      <c r="Z144" s="4">
        <v>77</v>
      </c>
      <c r="AA144" s="4">
        <f>=ROUNDDOWN(5.7037037037037,0)</f>
      </c>
      <c r="AB144" s="5">
        <v>13.5</v>
      </c>
      <c r="AC144" s="2" t="s">
        <v>202</v>
      </c>
      <c r="AD144" s="4">
        <v>272</v>
      </c>
      <c r="AE144" s="4">
        <v>648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10</v>
      </c>
      <c r="AQ144" s="8">
        <v>199.8</v>
      </c>
      <c r="AR144" s="4">
        <v>61</v>
      </c>
      <c r="AS144" s="8">
        <v>908.29</v>
      </c>
      <c r="AT144" s="7">
        <v>-0.8361</v>
      </c>
      <c r="AU144" s="7">
        <v>-0.78</v>
      </c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0.3899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168</v>
      </c>
      <c r="BK144" s="8">
        <v>2829.37</v>
      </c>
      <c r="BL144" s="2" t="s">
        <v>417</v>
      </c>
      <c r="BM144" s="7">
        <v>0.0595</v>
      </c>
      <c r="BN144" s="7">
        <v>0.0706</v>
      </c>
      <c r="BO144" s="4">
        <v>10</v>
      </c>
      <c r="BP144" s="8">
        <v>199.8</v>
      </c>
      <c r="BQ144" s="4">
        <v>61</v>
      </c>
      <c r="BR144" s="8">
        <v>908.29</v>
      </c>
      <c r="BS144" s="7">
        <v>-0.8361</v>
      </c>
      <c r="BT144" s="7">
        <v>-0.78</v>
      </c>
      <c r="BU144" s="2" t="s">
        <v>211</v>
      </c>
      <c r="BV144" s="2" t="s">
        <v>95</v>
      </c>
      <c r="BW144" s="2" t="s">
        <v>524</v>
      </c>
      <c r="BX144" s="2" t="s">
        <v>622</v>
      </c>
      <c r="BY144" s="2" t="s">
        <v>111</v>
      </c>
    </row>
    <row r="145">
      <c r="A145" s="2" t="s">
        <v>623</v>
      </c>
      <c r="B145" s="2" t="s">
        <v>86</v>
      </c>
      <c r="C145" s="2" t="s">
        <v>87</v>
      </c>
      <c r="D145" s="2" t="s">
        <v>88</v>
      </c>
      <c r="E145" s="2" t="s">
        <v>88</v>
      </c>
      <c r="F145" s="2" t="s">
        <v>612</v>
      </c>
      <c r="G145" s="2" t="s">
        <v>613</v>
      </c>
      <c r="H145" s="2" t="s">
        <v>614</v>
      </c>
      <c r="I145" s="2" t="s">
        <v>615</v>
      </c>
      <c r="J145" s="2" t="s">
        <v>113</v>
      </c>
      <c r="K145" s="2" t="s">
        <v>214</v>
      </c>
      <c r="L145" s="3">
        <v>18.8</v>
      </c>
      <c r="M145" s="3">
        <v>19.74</v>
      </c>
      <c r="N145" s="3">
        <v>39.99</v>
      </c>
      <c r="O145" s="2" t="s">
        <v>95</v>
      </c>
      <c r="P145" s="2" t="s">
        <v>150</v>
      </c>
      <c r="Q145" s="2" t="s">
        <v>97</v>
      </c>
      <c r="R145" s="2" t="s">
        <v>98</v>
      </c>
      <c r="S145" s="2" t="s">
        <v>616</v>
      </c>
      <c r="T145" s="2" t="s">
        <v>98</v>
      </c>
      <c r="U145" s="2" t="s">
        <v>98</v>
      </c>
      <c r="V145" s="2" t="s">
        <v>617</v>
      </c>
      <c r="W145" s="2" t="s">
        <v>335</v>
      </c>
      <c r="X145" s="2" t="s">
        <v>372</v>
      </c>
      <c r="Y145" s="2" t="s">
        <v>618</v>
      </c>
      <c r="Z145" s="4">
        <v>193</v>
      </c>
      <c r="AA145" s="4">
        <f>=ROUNDDOWN(27.5714285714286,0)</f>
      </c>
      <c r="AB145" s="5">
        <v>7</v>
      </c>
      <c r="AC145" s="2" t="s">
        <v>624</v>
      </c>
      <c r="AD145" s="4">
        <v>148</v>
      </c>
      <c r="AE145" s="4">
        <v>148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2</v>
      </c>
      <c r="AS145" s="8">
        <v>33.74</v>
      </c>
      <c r="AT145" s="7">
        <v>-1</v>
      </c>
      <c r="AU145" s="7">
        <v>-1</v>
      </c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119</v>
      </c>
      <c r="BK145" s="8">
        <v>2244.99</v>
      </c>
      <c r="BL145" s="2" t="s">
        <v>625</v>
      </c>
      <c r="BM145" s="7"/>
      <c r="BN145" s="7"/>
      <c r="BO145" s="4"/>
      <c r="BP145" s="8"/>
      <c r="BQ145" s="4">
        <v>2</v>
      </c>
      <c r="BR145" s="8">
        <v>33.74</v>
      </c>
      <c r="BS145" s="7">
        <v>-1</v>
      </c>
      <c r="BT145" s="7">
        <v>-1</v>
      </c>
      <c r="BU145" s="2" t="s">
        <v>211</v>
      </c>
      <c r="BV145" s="2" t="s">
        <v>95</v>
      </c>
      <c r="BW145" s="2" t="s">
        <v>524</v>
      </c>
      <c r="BX145" s="2" t="s">
        <v>626</v>
      </c>
      <c r="BY145" s="2" t="s">
        <v>111</v>
      </c>
    </row>
    <row r="146">
      <c r="A146" s="2" t="s">
        <v>627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612</v>
      </c>
      <c r="G146" s="2" t="s">
        <v>613</v>
      </c>
      <c r="H146" s="2" t="s">
        <v>614</v>
      </c>
      <c r="I146" s="2" t="s">
        <v>615</v>
      </c>
      <c r="J146" s="2" t="s">
        <v>331</v>
      </c>
      <c r="K146" s="2" t="s">
        <v>458</v>
      </c>
      <c r="L146" s="3">
        <v>13.76</v>
      </c>
      <c r="M146" s="3">
        <v>14.45</v>
      </c>
      <c r="N146" s="3">
        <v>31.99</v>
      </c>
      <c r="O146" s="2" t="s">
        <v>241</v>
      </c>
      <c r="P146" s="2" t="s">
        <v>215</v>
      </c>
      <c r="Q146" s="2" t="s">
        <v>97</v>
      </c>
      <c r="R146" s="2" t="s">
        <v>98</v>
      </c>
      <c r="S146" s="2" t="s">
        <v>628</v>
      </c>
      <c r="T146" s="2" t="s">
        <v>98</v>
      </c>
      <c r="U146" s="2" t="s">
        <v>98</v>
      </c>
      <c r="V146" s="2" t="s">
        <v>617</v>
      </c>
      <c r="W146" s="2" t="s">
        <v>335</v>
      </c>
      <c r="X146" s="2" t="s">
        <v>98</v>
      </c>
      <c r="Y146" s="2" t="s">
        <v>629</v>
      </c>
      <c r="Z146" s="4"/>
      <c r="AA146" s="4">
        <f>=ROUNDDOWN({0},0)</f>
      </c>
      <c r="AB146" s="5">
        <v>15.6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24</v>
      </c>
      <c r="AQ146" s="8">
        <v>199.2</v>
      </c>
      <c r="AR146" s="4"/>
      <c r="AS146" s="8"/>
      <c r="AT146" s="7"/>
      <c r="AU146" s="7"/>
      <c r="AV146" s="4">
        <v>29</v>
      </c>
      <c r="AW146" s="8">
        <v>300.72</v>
      </c>
      <c r="AX146" s="4">
        <v>79</v>
      </c>
      <c r="AY146" s="8">
        <v>1192.15</v>
      </c>
      <c r="AZ146" s="7">
        <v>-0.6329</v>
      </c>
      <c r="BA146" s="7">
        <v>-0.7477</v>
      </c>
      <c r="BB146" s="7">
        <v>0.6624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0.3698</v>
      </c>
      <c r="BJ146" s="4">
        <v>82</v>
      </c>
      <c r="BK146" s="8">
        <v>852.69</v>
      </c>
      <c r="BL146" s="2" t="s">
        <v>630</v>
      </c>
      <c r="BM146" s="7">
        <v>0.2927</v>
      </c>
      <c r="BN146" s="7">
        <v>0.2336</v>
      </c>
      <c r="BO146" s="4">
        <v>24</v>
      </c>
      <c r="BP146" s="8">
        <v>199.2</v>
      </c>
      <c r="BQ146" s="4"/>
      <c r="BR146" s="8"/>
      <c r="BS146" s="7"/>
      <c r="BT146" s="7"/>
      <c r="BU146" s="2" t="s">
        <v>211</v>
      </c>
      <c r="BV146" s="2" t="s">
        <v>352</v>
      </c>
      <c r="BW146" s="2" t="s">
        <v>524</v>
      </c>
      <c r="BX146" s="2" t="s">
        <v>631</v>
      </c>
      <c r="BY146" s="2" t="s">
        <v>354</v>
      </c>
    </row>
    <row r="147">
      <c r="A147" s="2" t="s">
        <v>632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612</v>
      </c>
      <c r="G147" s="2" t="s">
        <v>613</v>
      </c>
      <c r="H147" s="2" t="s">
        <v>614</v>
      </c>
      <c r="I147" s="2" t="s">
        <v>615</v>
      </c>
      <c r="J147" s="2" t="s">
        <v>93</v>
      </c>
      <c r="K147" s="2" t="s">
        <v>458</v>
      </c>
      <c r="L147" s="3">
        <v>16.65</v>
      </c>
      <c r="M147" s="3">
        <v>17.48</v>
      </c>
      <c r="N147" s="3">
        <v>36.99</v>
      </c>
      <c r="O147" s="2" t="s">
        <v>95</v>
      </c>
      <c r="P147" s="2" t="s">
        <v>150</v>
      </c>
      <c r="Q147" s="2" t="s">
        <v>97</v>
      </c>
      <c r="R147" s="2" t="s">
        <v>98</v>
      </c>
      <c r="S147" s="2" t="s">
        <v>628</v>
      </c>
      <c r="T147" s="2" t="s">
        <v>98</v>
      </c>
      <c r="U147" s="2" t="s">
        <v>98</v>
      </c>
      <c r="V147" s="2" t="s">
        <v>617</v>
      </c>
      <c r="W147" s="2" t="s">
        <v>335</v>
      </c>
      <c r="X147" s="2" t="s">
        <v>372</v>
      </c>
      <c r="Y147" s="2" t="s">
        <v>618</v>
      </c>
      <c r="Z147" s="4">
        <v>78</v>
      </c>
      <c r="AA147" s="4">
        <f>=ROUNDDOWN(11.1428571428571,0)</f>
      </c>
      <c r="AB147" s="5">
        <v>7</v>
      </c>
      <c r="AC147" s="2" t="s">
        <v>309</v>
      </c>
      <c r="AD147" s="4">
        <v>316</v>
      </c>
      <c r="AE147" s="4">
        <v>316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4</v>
      </c>
      <c r="AQ147" s="8">
        <v>79.92</v>
      </c>
      <c r="AR147" s="4">
        <v>71</v>
      </c>
      <c r="AS147" s="8">
        <v>1057.19</v>
      </c>
      <c r="AT147" s="7">
        <v>-0.9437</v>
      </c>
      <c r="AU147" s="7">
        <v>-0.9244</v>
      </c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0.2658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97</v>
      </c>
      <c r="BK147" s="8">
        <v>1678.01</v>
      </c>
      <c r="BL147" s="2" t="s">
        <v>351</v>
      </c>
      <c r="BM147" s="7">
        <v>0.0412</v>
      </c>
      <c r="BN147" s="7">
        <v>0.0476</v>
      </c>
      <c r="BO147" s="4">
        <v>4</v>
      </c>
      <c r="BP147" s="8">
        <v>79.92</v>
      </c>
      <c r="BQ147" s="4">
        <v>71</v>
      </c>
      <c r="BR147" s="8">
        <v>1057.19</v>
      </c>
      <c r="BS147" s="7">
        <v>-0.9437</v>
      </c>
      <c r="BT147" s="7">
        <v>-0.9244</v>
      </c>
      <c r="BU147" s="2" t="s">
        <v>211</v>
      </c>
      <c r="BV147" s="2" t="s">
        <v>95</v>
      </c>
      <c r="BW147" s="2" t="s">
        <v>524</v>
      </c>
      <c r="BX147" s="2" t="s">
        <v>633</v>
      </c>
      <c r="BY147" s="2" t="s">
        <v>111</v>
      </c>
    </row>
    <row r="148">
      <c r="A148" s="2" t="s">
        <v>634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612</v>
      </c>
      <c r="G148" s="2" t="s">
        <v>613</v>
      </c>
      <c r="H148" s="2" t="s">
        <v>614</v>
      </c>
      <c r="I148" s="2" t="s">
        <v>615</v>
      </c>
      <c r="J148" s="2" t="s">
        <v>113</v>
      </c>
      <c r="K148" s="2" t="s">
        <v>458</v>
      </c>
      <c r="L148" s="3">
        <v>18.8</v>
      </c>
      <c r="M148" s="3">
        <v>19.74</v>
      </c>
      <c r="N148" s="3">
        <v>39.99</v>
      </c>
      <c r="O148" s="2" t="s">
        <v>95</v>
      </c>
      <c r="P148" s="2" t="s">
        <v>150</v>
      </c>
      <c r="Q148" s="2" t="s">
        <v>97</v>
      </c>
      <c r="R148" s="2" t="s">
        <v>98</v>
      </c>
      <c r="S148" s="2" t="s">
        <v>628</v>
      </c>
      <c r="T148" s="2" t="s">
        <v>98</v>
      </c>
      <c r="U148" s="2" t="s">
        <v>98</v>
      </c>
      <c r="V148" s="2" t="s">
        <v>617</v>
      </c>
      <c r="W148" s="2" t="s">
        <v>335</v>
      </c>
      <c r="X148" s="2" t="s">
        <v>372</v>
      </c>
      <c r="Y148" s="2" t="s">
        <v>618</v>
      </c>
      <c r="Z148" s="4">
        <v>61</v>
      </c>
      <c r="AA148" s="4">
        <f>=ROUNDDOWN(12.2,0)</f>
      </c>
      <c r="AB148" s="5">
        <v>5</v>
      </c>
      <c r="AC148" s="2" t="s">
        <v>309</v>
      </c>
      <c r="AD148" s="4">
        <v>96</v>
      </c>
      <c r="AE148" s="4">
        <v>96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21.6</v>
      </c>
      <c r="AR148" s="4">
        <v>8</v>
      </c>
      <c r="AS148" s="8">
        <v>134.96</v>
      </c>
      <c r="AT148" s="7">
        <v>-0.875</v>
      </c>
      <c r="AU148" s="7">
        <v>-0.84</v>
      </c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0.0718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66</v>
      </c>
      <c r="BK148" s="8">
        <v>1238.5</v>
      </c>
      <c r="BL148" s="2" t="s">
        <v>635</v>
      </c>
      <c r="BM148" s="7">
        <v>0.0152</v>
      </c>
      <c r="BN148" s="7">
        <v>0.0174</v>
      </c>
      <c r="BO148" s="4">
        <v>1</v>
      </c>
      <c r="BP148" s="8">
        <v>21.6</v>
      </c>
      <c r="BQ148" s="4">
        <v>8</v>
      </c>
      <c r="BR148" s="8">
        <v>134.96</v>
      </c>
      <c r="BS148" s="7">
        <v>-0.875</v>
      </c>
      <c r="BT148" s="7">
        <v>-0.84</v>
      </c>
      <c r="BU148" s="2" t="s">
        <v>211</v>
      </c>
      <c r="BV148" s="2" t="s">
        <v>95</v>
      </c>
      <c r="BW148" s="2" t="s">
        <v>524</v>
      </c>
      <c r="BX148" s="2" t="s">
        <v>636</v>
      </c>
      <c r="BY148" s="2" t="s">
        <v>111</v>
      </c>
    </row>
    <row r="149">
      <c r="A149" s="2" t="s">
        <v>637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638</v>
      </c>
      <c r="G149" s="2" t="s">
        <v>639</v>
      </c>
      <c r="H149" s="2" t="s">
        <v>640</v>
      </c>
      <c r="I149" s="2" t="s">
        <v>641</v>
      </c>
      <c r="J149" s="2" t="s">
        <v>93</v>
      </c>
      <c r="K149" s="2" t="s">
        <v>323</v>
      </c>
      <c r="L149" s="3">
        <v>16.45</v>
      </c>
      <c r="M149" s="3">
        <v>17.27</v>
      </c>
      <c r="N149" s="3">
        <v>34.99</v>
      </c>
      <c r="O149" s="2" t="s">
        <v>95</v>
      </c>
      <c r="P149" s="2" t="s">
        <v>215</v>
      </c>
      <c r="Q149" s="2" t="s">
        <v>97</v>
      </c>
      <c r="R149" s="2" t="s">
        <v>98</v>
      </c>
      <c r="S149" s="2" t="s">
        <v>642</v>
      </c>
      <c r="T149" s="2" t="s">
        <v>98</v>
      </c>
      <c r="U149" s="2" t="s">
        <v>98</v>
      </c>
      <c r="V149" s="2" t="s">
        <v>522</v>
      </c>
      <c r="W149" s="2" t="s">
        <v>102</v>
      </c>
      <c r="X149" s="2" t="s">
        <v>98</v>
      </c>
      <c r="Y149" s="2" t="s">
        <v>104</v>
      </c>
      <c r="Z149" s="4">
        <v>268</v>
      </c>
      <c r="AA149" s="4">
        <f>=ROUNDDOWN(14.1052631578947,0)</f>
      </c>
      <c r="AB149" s="5">
        <v>19</v>
      </c>
      <c r="AC149" s="2" t="s">
        <v>264</v>
      </c>
      <c r="AD149" s="4">
        <v>200</v>
      </c>
      <c r="AE149" s="4">
        <v>200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13</v>
      </c>
      <c r="AQ149" s="8">
        <v>227.5</v>
      </c>
      <c r="AR149" s="4">
        <v>46</v>
      </c>
      <c r="AS149" s="8">
        <v>684.94</v>
      </c>
      <c r="AT149" s="7">
        <v>-0.7174</v>
      </c>
      <c r="AU149" s="7">
        <v>-0.6679</v>
      </c>
      <c r="AV149" s="4">
        <v>13</v>
      </c>
      <c r="AW149" s="8">
        <v>227.5</v>
      </c>
      <c r="AX149" s="4">
        <v>46</v>
      </c>
      <c r="AY149" s="8">
        <v>684.94</v>
      </c>
      <c r="AZ149" s="7">
        <v>-0.7174</v>
      </c>
      <c r="BA149" s="7">
        <v>-0.6679</v>
      </c>
      <c r="BB149" s="7">
        <v>1</v>
      </c>
      <c r="BC149" s="4">
        <v>31</v>
      </c>
      <c r="BD149" s="8">
        <v>542.5</v>
      </c>
      <c r="BE149" s="4">
        <v>271</v>
      </c>
      <c r="BF149" s="8">
        <v>4035.19</v>
      </c>
      <c r="BG149" s="7">
        <v>-0.8856</v>
      </c>
      <c r="BH149" s="7">
        <v>-0.8656</v>
      </c>
      <c r="BI149" s="7">
        <v>0.4194</v>
      </c>
      <c r="BJ149" s="4">
        <v>141</v>
      </c>
      <c r="BK149" s="8">
        <v>2487.78</v>
      </c>
      <c r="BL149" s="2" t="s">
        <v>392</v>
      </c>
      <c r="BM149" s="7">
        <v>0.0922</v>
      </c>
      <c r="BN149" s="7">
        <v>0.0914</v>
      </c>
      <c r="BO149" s="4">
        <v>13</v>
      </c>
      <c r="BP149" s="8">
        <v>227.5</v>
      </c>
      <c r="BQ149" s="4">
        <v>46</v>
      </c>
      <c r="BR149" s="8">
        <v>684.94</v>
      </c>
      <c r="BS149" s="7">
        <v>-0.7174</v>
      </c>
      <c r="BT149" s="7">
        <v>-0.6679</v>
      </c>
      <c r="BU149" s="2" t="s">
        <v>211</v>
      </c>
      <c r="BV149" s="2" t="s">
        <v>95</v>
      </c>
      <c r="BW149" s="2" t="s">
        <v>244</v>
      </c>
      <c r="BX149" s="2" t="s">
        <v>384</v>
      </c>
      <c r="BY149" s="2" t="s">
        <v>111</v>
      </c>
    </row>
    <row r="150">
      <c r="A150" s="2" t="s">
        <v>643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638</v>
      </c>
      <c r="G150" s="2" t="s">
        <v>639</v>
      </c>
      <c r="H150" s="2" t="s">
        <v>640</v>
      </c>
      <c r="I150" s="2" t="s">
        <v>641</v>
      </c>
      <c r="J150" s="2" t="s">
        <v>93</v>
      </c>
      <c r="K150" s="2" t="s">
        <v>464</v>
      </c>
      <c r="L150" s="3">
        <v>16.45</v>
      </c>
      <c r="M150" s="3">
        <v>17.27</v>
      </c>
      <c r="N150" s="3">
        <v>34.99</v>
      </c>
      <c r="O150" s="2" t="s">
        <v>95</v>
      </c>
      <c r="P150" s="2" t="s">
        <v>215</v>
      </c>
      <c r="Q150" s="2" t="s">
        <v>97</v>
      </c>
      <c r="R150" s="2" t="s">
        <v>98</v>
      </c>
      <c r="S150" s="2" t="s">
        <v>644</v>
      </c>
      <c r="T150" s="2" t="s">
        <v>98</v>
      </c>
      <c r="U150" s="2" t="s">
        <v>98</v>
      </c>
      <c r="V150" s="2" t="s">
        <v>522</v>
      </c>
      <c r="W150" s="2" t="s">
        <v>102</v>
      </c>
      <c r="X150" s="2" t="s">
        <v>372</v>
      </c>
      <c r="Y150" s="2" t="s">
        <v>104</v>
      </c>
      <c r="Z150" s="4">
        <v>502</v>
      </c>
      <c r="AA150" s="4">
        <f>=ROUNDDOWN(50.2,0)</f>
      </c>
      <c r="AB150" s="5">
        <v>10</v>
      </c>
      <c r="AC150" s="2" t="s">
        <v>98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6</v>
      </c>
      <c r="AQ150" s="8">
        <v>105</v>
      </c>
      <c r="AR150" s="4">
        <v>16</v>
      </c>
      <c r="AS150" s="8">
        <v>238.24</v>
      </c>
      <c r="AT150" s="7">
        <v>-0.625</v>
      </c>
      <c r="AU150" s="7">
        <v>-0.5593</v>
      </c>
      <c r="AV150" s="4">
        <v>6</v>
      </c>
      <c r="AW150" s="8">
        <v>105</v>
      </c>
      <c r="AX150" s="4">
        <v>16</v>
      </c>
      <c r="AY150" s="8">
        <v>238.24</v>
      </c>
      <c r="AZ150" s="7">
        <v>-0.625</v>
      </c>
      <c r="BA150" s="7">
        <v>-0.5593</v>
      </c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0.1935</v>
      </c>
      <c r="BJ150" s="4">
        <v>183</v>
      </c>
      <c r="BK150" s="8">
        <v>3302.44</v>
      </c>
      <c r="BL150" s="2" t="s">
        <v>645</v>
      </c>
      <c r="BM150" s="7">
        <v>0.0328</v>
      </c>
      <c r="BN150" s="7">
        <v>0.0318</v>
      </c>
      <c r="BO150" s="4">
        <v>6</v>
      </c>
      <c r="BP150" s="8">
        <v>105</v>
      </c>
      <c r="BQ150" s="4">
        <v>16</v>
      </c>
      <c r="BR150" s="8">
        <v>238.24</v>
      </c>
      <c r="BS150" s="7">
        <v>-0.625</v>
      </c>
      <c r="BT150" s="7">
        <v>-0.5593</v>
      </c>
      <c r="BU150" s="2" t="s">
        <v>107</v>
      </c>
      <c r="BV150" s="2" t="s">
        <v>108</v>
      </c>
      <c r="BW150" s="2" t="s">
        <v>244</v>
      </c>
      <c r="BX150" s="2" t="s">
        <v>646</v>
      </c>
      <c r="BY150" s="2" t="s">
        <v>111</v>
      </c>
    </row>
    <row r="151">
      <c r="A151" s="2" t="s">
        <v>647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638</v>
      </c>
      <c r="G151" s="2" t="s">
        <v>639</v>
      </c>
      <c r="H151" s="2" t="s">
        <v>640</v>
      </c>
      <c r="I151" s="2" t="s">
        <v>641</v>
      </c>
      <c r="J151" s="2" t="s">
        <v>93</v>
      </c>
      <c r="K151" s="2" t="s">
        <v>520</v>
      </c>
      <c r="L151" s="3">
        <v>16.45</v>
      </c>
      <c r="M151" s="3">
        <v>17.27</v>
      </c>
      <c r="N151" s="3">
        <v>34.99</v>
      </c>
      <c r="O151" s="2" t="s">
        <v>95</v>
      </c>
      <c r="P151" s="2" t="s">
        <v>150</v>
      </c>
      <c r="Q151" s="2" t="s">
        <v>97</v>
      </c>
      <c r="R151" s="2" t="s">
        <v>98</v>
      </c>
      <c r="S151" s="2" t="s">
        <v>648</v>
      </c>
      <c r="T151" s="2" t="s">
        <v>98</v>
      </c>
      <c r="U151" s="2" t="s">
        <v>98</v>
      </c>
      <c r="V151" s="2" t="s">
        <v>522</v>
      </c>
      <c r="W151" s="2" t="s">
        <v>649</v>
      </c>
      <c r="X151" s="2" t="s">
        <v>372</v>
      </c>
      <c r="Y151" s="2" t="s">
        <v>104</v>
      </c>
      <c r="Z151" s="4">
        <v>239</v>
      </c>
      <c r="AA151" s="4">
        <f>=ROUNDDOWN(8.85185185185185,0)</f>
      </c>
      <c r="AB151" s="5">
        <v>27</v>
      </c>
      <c r="AC151" s="2" t="s">
        <v>144</v>
      </c>
      <c r="AD151" s="4">
        <v>440</v>
      </c>
      <c r="AE151" s="4">
        <v>652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6</v>
      </c>
      <c r="AQ151" s="8">
        <v>105</v>
      </c>
      <c r="AR151" s="4">
        <v>143</v>
      </c>
      <c r="AS151" s="8">
        <v>2129.27</v>
      </c>
      <c r="AT151" s="7">
        <v>-0.958</v>
      </c>
      <c r="AU151" s="7">
        <v>-0.9507</v>
      </c>
      <c r="AV151" s="4">
        <v>6</v>
      </c>
      <c r="AW151" s="8">
        <v>105</v>
      </c>
      <c r="AX151" s="4">
        <v>143</v>
      </c>
      <c r="AY151" s="8">
        <v>2129.27</v>
      </c>
      <c r="AZ151" s="7">
        <v>-0.958</v>
      </c>
      <c r="BA151" s="7">
        <v>-0.9507</v>
      </c>
      <c r="BB151" s="7">
        <v>1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0.1935</v>
      </c>
      <c r="BJ151" s="4">
        <v>337</v>
      </c>
      <c r="BK151" s="8">
        <v>5767.29</v>
      </c>
      <c r="BL151" s="2" t="s">
        <v>650</v>
      </c>
      <c r="BM151" s="7">
        <v>0.0178</v>
      </c>
      <c r="BN151" s="7">
        <v>0.0182</v>
      </c>
      <c r="BO151" s="4">
        <v>6</v>
      </c>
      <c r="BP151" s="8">
        <v>105</v>
      </c>
      <c r="BQ151" s="4">
        <v>143</v>
      </c>
      <c r="BR151" s="8">
        <v>2129.27</v>
      </c>
      <c r="BS151" s="7">
        <v>-0.958</v>
      </c>
      <c r="BT151" s="7">
        <v>-0.9507</v>
      </c>
      <c r="BU151" s="2" t="s">
        <v>107</v>
      </c>
      <c r="BV151" s="2" t="s">
        <v>108</v>
      </c>
      <c r="BW151" s="2" t="s">
        <v>244</v>
      </c>
      <c r="BX151" s="2" t="s">
        <v>651</v>
      </c>
      <c r="BY151" s="2" t="s">
        <v>111</v>
      </c>
    </row>
    <row r="152">
      <c r="A152" s="2" t="s">
        <v>652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638</v>
      </c>
      <c r="G152" s="2" t="s">
        <v>639</v>
      </c>
      <c r="H152" s="2" t="s">
        <v>640</v>
      </c>
      <c r="I152" s="2" t="s">
        <v>641</v>
      </c>
      <c r="J152" s="2" t="s">
        <v>93</v>
      </c>
      <c r="K152" s="2" t="s">
        <v>214</v>
      </c>
      <c r="L152" s="3">
        <v>16.45</v>
      </c>
      <c r="M152" s="3">
        <v>17.27</v>
      </c>
      <c r="N152" s="3">
        <v>34.99</v>
      </c>
      <c r="O152" s="2" t="s">
        <v>241</v>
      </c>
      <c r="P152" s="2" t="s">
        <v>215</v>
      </c>
      <c r="Q152" s="2" t="s">
        <v>97</v>
      </c>
      <c r="R152" s="2" t="s">
        <v>98</v>
      </c>
      <c r="S152" s="2" t="s">
        <v>653</v>
      </c>
      <c r="T152" s="2" t="s">
        <v>98</v>
      </c>
      <c r="U152" s="2" t="s">
        <v>100</v>
      </c>
      <c r="V152" s="2" t="s">
        <v>522</v>
      </c>
      <c r="W152" s="2" t="s">
        <v>649</v>
      </c>
      <c r="X152" s="2" t="s">
        <v>98</v>
      </c>
      <c r="Y152" s="2" t="s">
        <v>654</v>
      </c>
      <c r="Z152" s="4">
        <v>1621</v>
      </c>
      <c r="AA152" s="4">
        <f>=ROUNDDOWN(311.730769230769,0)</f>
      </c>
      <c r="AB152" s="5">
        <v>5.2</v>
      </c>
      <c r="AC152" s="2" t="s">
        <v>98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4</v>
      </c>
      <c r="AQ152" s="8">
        <v>70</v>
      </c>
      <c r="AR152" s="4">
        <v>53</v>
      </c>
      <c r="AS152" s="8">
        <v>789.17</v>
      </c>
      <c r="AT152" s="7">
        <v>-0.9245</v>
      </c>
      <c r="AU152" s="7">
        <v>-0.9113</v>
      </c>
      <c r="AV152" s="4">
        <v>4</v>
      </c>
      <c r="AW152" s="8">
        <v>70</v>
      </c>
      <c r="AX152" s="4">
        <v>53</v>
      </c>
      <c r="AY152" s="8">
        <v>789.17</v>
      </c>
      <c r="AZ152" s="7">
        <v>-0.9245</v>
      </c>
      <c r="BA152" s="7">
        <v>-0.9113</v>
      </c>
      <c r="BB152" s="7">
        <v>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0.129</v>
      </c>
      <c r="BJ152" s="4">
        <v>70</v>
      </c>
      <c r="BK152" s="8">
        <v>1243.98</v>
      </c>
      <c r="BL152" s="2" t="s">
        <v>655</v>
      </c>
      <c r="BM152" s="7">
        <v>0.0571</v>
      </c>
      <c r="BN152" s="7">
        <v>0.0563</v>
      </c>
      <c r="BO152" s="4">
        <v>4</v>
      </c>
      <c r="BP152" s="8">
        <v>70</v>
      </c>
      <c r="BQ152" s="4">
        <v>53</v>
      </c>
      <c r="BR152" s="8">
        <v>789.17</v>
      </c>
      <c r="BS152" s="7">
        <v>-0.9245</v>
      </c>
      <c r="BT152" s="7">
        <v>-0.9113</v>
      </c>
      <c r="BU152" s="2" t="s">
        <v>211</v>
      </c>
      <c r="BV152" s="2" t="s">
        <v>95</v>
      </c>
      <c r="BW152" s="2" t="s">
        <v>244</v>
      </c>
      <c r="BX152" s="2" t="s">
        <v>381</v>
      </c>
      <c r="BY152" s="2" t="s">
        <v>111</v>
      </c>
    </row>
    <row r="153">
      <c r="A153" s="2" t="s">
        <v>656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638</v>
      </c>
      <c r="G153" s="2" t="s">
        <v>639</v>
      </c>
      <c r="H153" s="2" t="s">
        <v>640</v>
      </c>
      <c r="I153" s="2" t="s">
        <v>641</v>
      </c>
      <c r="J153" s="2" t="s">
        <v>93</v>
      </c>
      <c r="K153" s="2" t="s">
        <v>455</v>
      </c>
      <c r="L153" s="3">
        <v>16.45</v>
      </c>
      <c r="M153" s="3">
        <v>17.27</v>
      </c>
      <c r="N153" s="3">
        <v>34.99</v>
      </c>
      <c r="O153" s="2" t="s">
        <v>95</v>
      </c>
      <c r="P153" s="2" t="s">
        <v>150</v>
      </c>
      <c r="Q153" s="2" t="s">
        <v>97</v>
      </c>
      <c r="R153" s="2" t="s">
        <v>98</v>
      </c>
      <c r="S153" s="2" t="s">
        <v>657</v>
      </c>
      <c r="T153" s="2" t="s">
        <v>98</v>
      </c>
      <c r="U153" s="2" t="s">
        <v>100</v>
      </c>
      <c r="V153" s="2" t="s">
        <v>522</v>
      </c>
      <c r="W153" s="2" t="s">
        <v>649</v>
      </c>
      <c r="X153" s="2" t="s">
        <v>372</v>
      </c>
      <c r="Y153" s="2" t="s">
        <v>654</v>
      </c>
      <c r="Z153" s="4">
        <v>389</v>
      </c>
      <c r="AA153" s="4">
        <f>=ROUNDDOWN(29.9230769230769,0)</f>
      </c>
      <c r="AB153" s="5">
        <v>13</v>
      </c>
      <c r="AC153" s="2" t="s">
        <v>658</v>
      </c>
      <c r="AD153" s="4">
        <v>72</v>
      </c>
      <c r="AE153" s="4">
        <v>72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35</v>
      </c>
      <c r="AR153" s="4"/>
      <c r="AS153" s="8"/>
      <c r="AT153" s="7"/>
      <c r="AU153" s="7"/>
      <c r="AV153" s="4">
        <v>2</v>
      </c>
      <c r="AW153" s="8">
        <v>35</v>
      </c>
      <c r="AX153" s="4"/>
      <c r="AY153" s="8"/>
      <c r="AZ153" s="7"/>
      <c r="BA153" s="7"/>
      <c r="BB153" s="7">
        <v>1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0.0645</v>
      </c>
      <c r="BJ153" s="4">
        <v>159</v>
      </c>
      <c r="BK153" s="8">
        <v>2786.67</v>
      </c>
      <c r="BL153" s="2" t="s">
        <v>377</v>
      </c>
      <c r="BM153" s="7">
        <v>0.0126</v>
      </c>
      <c r="BN153" s="7">
        <v>0.0126</v>
      </c>
      <c r="BO153" s="4">
        <v>2</v>
      </c>
      <c r="BP153" s="8">
        <v>35</v>
      </c>
      <c r="BQ153" s="4"/>
      <c r="BR153" s="8"/>
      <c r="BS153" s="7"/>
      <c r="BT153" s="7"/>
      <c r="BU153" s="2" t="s">
        <v>107</v>
      </c>
      <c r="BV153" s="2" t="s">
        <v>108</v>
      </c>
      <c r="BW153" s="2" t="s">
        <v>659</v>
      </c>
      <c r="BX153" s="2" t="s">
        <v>660</v>
      </c>
      <c r="BY153" s="2" t="s">
        <v>111</v>
      </c>
    </row>
    <row r="154">
      <c r="A154" s="2" t="s">
        <v>661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638</v>
      </c>
      <c r="G154" s="2" t="s">
        <v>639</v>
      </c>
      <c r="H154" s="2" t="s">
        <v>640</v>
      </c>
      <c r="I154" s="2" t="s">
        <v>641</v>
      </c>
      <c r="J154" s="2" t="s">
        <v>93</v>
      </c>
      <c r="K154" s="2" t="s">
        <v>299</v>
      </c>
      <c r="L154" s="3">
        <v>16.45</v>
      </c>
      <c r="M154" s="3">
        <v>17.27</v>
      </c>
      <c r="N154" s="3">
        <v>34.99</v>
      </c>
      <c r="O154" s="2" t="s">
        <v>95</v>
      </c>
      <c r="P154" s="2" t="s">
        <v>220</v>
      </c>
      <c r="Q154" s="2" t="s">
        <v>97</v>
      </c>
      <c r="R154" s="2" t="s">
        <v>98</v>
      </c>
      <c r="S154" s="2" t="s">
        <v>662</v>
      </c>
      <c r="T154" s="2" t="s">
        <v>98</v>
      </c>
      <c r="U154" s="2" t="s">
        <v>98</v>
      </c>
      <c r="V154" s="2" t="s">
        <v>522</v>
      </c>
      <c r="W154" s="2" t="s">
        <v>649</v>
      </c>
      <c r="X154" s="2" t="s">
        <v>372</v>
      </c>
      <c r="Y154" s="2" t="s">
        <v>232</v>
      </c>
      <c r="Z154" s="4">
        <v>215</v>
      </c>
      <c r="AA154" s="4">
        <f>=ROUNDDOWN(14.3333333333333,0)</f>
      </c>
      <c r="AB154" s="5">
        <v>15</v>
      </c>
      <c r="AC154" s="2" t="s">
        <v>663</v>
      </c>
      <c r="AD154" s="4">
        <v>160</v>
      </c>
      <c r="AE154" s="4">
        <v>300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>
        <v>13</v>
      </c>
      <c r="AS154" s="8">
        <v>193.57</v>
      </c>
      <c r="AT154" s="7">
        <v>-1</v>
      </c>
      <c r="AU154" s="7">
        <v>-1</v>
      </c>
      <c r="AV154" s="4"/>
      <c r="AW154" s="8"/>
      <c r="AX154" s="4">
        <v>13</v>
      </c>
      <c r="AY154" s="8">
        <v>193.57</v>
      </c>
      <c r="AZ154" s="7">
        <v>-1</v>
      </c>
      <c r="BA154" s="7">
        <v>-1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/>
      <c r="BJ154" s="4">
        <v>177</v>
      </c>
      <c r="BK154" s="8">
        <v>3151.14</v>
      </c>
      <c r="BL154" s="2" t="s">
        <v>664</v>
      </c>
      <c r="BM154" s="7"/>
      <c r="BN154" s="7"/>
      <c r="BO154" s="4"/>
      <c r="BP154" s="8"/>
      <c r="BQ154" s="4">
        <v>13</v>
      </c>
      <c r="BR154" s="8">
        <v>193.57</v>
      </c>
      <c r="BS154" s="7">
        <v>-1</v>
      </c>
      <c r="BT154" s="7">
        <v>-1</v>
      </c>
      <c r="BU154" s="2" t="s">
        <v>211</v>
      </c>
      <c r="BV154" s="2" t="s">
        <v>95</v>
      </c>
      <c r="BW154" s="2" t="s">
        <v>244</v>
      </c>
      <c r="BX154" s="2" t="s">
        <v>340</v>
      </c>
      <c r="BY154" s="2" t="s">
        <v>111</v>
      </c>
    </row>
    <row r="155">
      <c r="A155" s="2" t="s">
        <v>665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666</v>
      </c>
      <c r="G155" s="2" t="s">
        <v>667</v>
      </c>
      <c r="H155" s="2" t="s">
        <v>668</v>
      </c>
      <c r="I155" s="2" t="s">
        <v>669</v>
      </c>
      <c r="J155" s="2" t="s">
        <v>93</v>
      </c>
      <c r="K155" s="2" t="s">
        <v>670</v>
      </c>
      <c r="L155" s="3">
        <v>18</v>
      </c>
      <c r="M155" s="3">
        <v>18.9</v>
      </c>
      <c r="N155" s="3">
        <v>39.99</v>
      </c>
      <c r="O155" s="2" t="s">
        <v>368</v>
      </c>
      <c r="P155" s="2" t="s">
        <v>215</v>
      </c>
      <c r="Q155" s="2" t="s">
        <v>97</v>
      </c>
      <c r="R155" s="2" t="s">
        <v>98</v>
      </c>
      <c r="S155" s="2" t="s">
        <v>671</v>
      </c>
      <c r="T155" s="2" t="s">
        <v>98</v>
      </c>
      <c r="U155" s="2" t="s">
        <v>100</v>
      </c>
      <c r="V155" s="2" t="s">
        <v>101</v>
      </c>
      <c r="W155" s="2" t="s">
        <v>335</v>
      </c>
      <c r="X155" s="2" t="s">
        <v>102</v>
      </c>
      <c r="Y155" s="2" t="s">
        <v>672</v>
      </c>
      <c r="Z155" s="4">
        <v>1</v>
      </c>
      <c r="AA155" s="4">
        <f>=ROUNDDOWN({0},0)</f>
      </c>
      <c r="AB155" s="5"/>
      <c r="AC155" s="2" t="s">
        <v>98</v>
      </c>
      <c r="AD155" s="4"/>
      <c r="AE155" s="4"/>
      <c r="AF155" s="6">
        <v>65</v>
      </c>
      <c r="AG155" s="6"/>
      <c r="AH155" s="7">
        <v>0.3667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60</v>
      </c>
      <c r="AS155" s="8">
        <v>1012.8</v>
      </c>
      <c r="AT155" s="7">
        <v>-1</v>
      </c>
      <c r="AU155" s="7">
        <v>-1</v>
      </c>
      <c r="AV155" s="4">
        <v>20</v>
      </c>
      <c r="AW155" s="8">
        <v>322.56</v>
      </c>
      <c r="AX155" s="4">
        <v>87</v>
      </c>
      <c r="AY155" s="8">
        <v>1533.63</v>
      </c>
      <c r="AZ155" s="7">
        <v>-0.7701</v>
      </c>
      <c r="BA155" s="7">
        <v>-0.7897</v>
      </c>
      <c r="BB155" s="7"/>
      <c r="BC155" s="4">
        <v>20</v>
      </c>
      <c r="BD155" s="8">
        <v>322.56</v>
      </c>
      <c r="BE155" s="4">
        <v>119</v>
      </c>
      <c r="BF155" s="8">
        <v>2088.25</v>
      </c>
      <c r="BG155" s="7">
        <v>-0.8319</v>
      </c>
      <c r="BH155" s="7">
        <v>-0.8455</v>
      </c>
      <c r="BI155" s="7">
        <v>1</v>
      </c>
      <c r="BJ155" s="4"/>
      <c r="BK155" s="8"/>
      <c r="BL155" s="2" t="s">
        <v>673</v>
      </c>
      <c r="BM155" s="7"/>
      <c r="BN155" s="7"/>
      <c r="BO155" s="4"/>
      <c r="BP155" s="8"/>
      <c r="BQ155" s="4">
        <v>60</v>
      </c>
      <c r="BR155" s="8">
        <v>1012.8</v>
      </c>
      <c r="BS155" s="7">
        <v>-1</v>
      </c>
      <c r="BT155" s="7">
        <v>-1</v>
      </c>
      <c r="BU155" s="2" t="s">
        <v>211</v>
      </c>
      <c r="BV155" s="2" t="s">
        <v>352</v>
      </c>
      <c r="BW155" s="2" t="s">
        <v>570</v>
      </c>
      <c r="BX155" s="2" t="s">
        <v>674</v>
      </c>
      <c r="BY155" s="2" t="s">
        <v>354</v>
      </c>
    </row>
    <row r="156">
      <c r="A156" s="2" t="s">
        <v>675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666</v>
      </c>
      <c r="G156" s="2" t="s">
        <v>667</v>
      </c>
      <c r="H156" s="2" t="s">
        <v>668</v>
      </c>
      <c r="I156" s="2" t="s">
        <v>669</v>
      </c>
      <c r="J156" s="2" t="s">
        <v>113</v>
      </c>
      <c r="K156" s="2" t="s">
        <v>670</v>
      </c>
      <c r="L156" s="3">
        <v>20.7</v>
      </c>
      <c r="M156" s="3">
        <v>21.74</v>
      </c>
      <c r="N156" s="3">
        <v>44.99</v>
      </c>
      <c r="O156" s="2" t="s">
        <v>368</v>
      </c>
      <c r="P156" s="2" t="s">
        <v>215</v>
      </c>
      <c r="Q156" s="2" t="s">
        <v>97</v>
      </c>
      <c r="R156" s="2" t="s">
        <v>98</v>
      </c>
      <c r="S156" s="2" t="s">
        <v>671</v>
      </c>
      <c r="T156" s="2" t="s">
        <v>98</v>
      </c>
      <c r="U156" s="2" t="s">
        <v>100</v>
      </c>
      <c r="V156" s="2" t="s">
        <v>101</v>
      </c>
      <c r="W156" s="2" t="s">
        <v>335</v>
      </c>
      <c r="X156" s="2" t="s">
        <v>102</v>
      </c>
      <c r="Y156" s="2" t="s">
        <v>672</v>
      </c>
      <c r="Z156" s="4">
        <v>4</v>
      </c>
      <c r="AA156" s="4">
        <f>=ROUNDDOWN(0.714285714285714,0)</f>
      </c>
      <c r="AB156" s="5">
        <v>5.6</v>
      </c>
      <c r="AC156" s="2" t="s">
        <v>98</v>
      </c>
      <c r="AD156" s="4"/>
      <c r="AE156" s="4"/>
      <c r="AF156" s="6">
        <v>65</v>
      </c>
      <c r="AG156" s="6"/>
      <c r="AH156" s="7">
        <v>0.8556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20</v>
      </c>
      <c r="AQ156" s="8">
        <v>322.56</v>
      </c>
      <c r="AR156" s="4">
        <v>27</v>
      </c>
      <c r="AS156" s="8">
        <v>520.83</v>
      </c>
      <c r="AT156" s="7">
        <v>-0.2593</v>
      </c>
      <c r="AU156" s="7">
        <v>-0.3807</v>
      </c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1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62</v>
      </c>
      <c r="BK156" s="8">
        <v>1156.25</v>
      </c>
      <c r="BL156" s="2" t="s">
        <v>676</v>
      </c>
      <c r="BM156" s="7">
        <v>0.3226</v>
      </c>
      <c r="BN156" s="7">
        <v>0.279</v>
      </c>
      <c r="BO156" s="4">
        <v>20</v>
      </c>
      <c r="BP156" s="8">
        <v>322.56</v>
      </c>
      <c r="BQ156" s="4">
        <v>27</v>
      </c>
      <c r="BR156" s="8">
        <v>520.83</v>
      </c>
      <c r="BS156" s="7">
        <v>-0.2593</v>
      </c>
      <c r="BT156" s="7">
        <v>-0.3807</v>
      </c>
      <c r="BU156" s="2" t="s">
        <v>211</v>
      </c>
      <c r="BV156" s="2" t="s">
        <v>352</v>
      </c>
      <c r="BW156" s="2" t="s">
        <v>570</v>
      </c>
      <c r="BX156" s="2" t="s">
        <v>677</v>
      </c>
      <c r="BY156" s="2" t="s">
        <v>354</v>
      </c>
    </row>
    <row r="157">
      <c r="A157" s="2" t="s">
        <v>678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666</v>
      </c>
      <c r="G157" s="2" t="s">
        <v>667</v>
      </c>
      <c r="H157" s="2" t="s">
        <v>668</v>
      </c>
      <c r="I157" s="2" t="s">
        <v>669</v>
      </c>
      <c r="J157" s="2" t="s">
        <v>93</v>
      </c>
      <c r="K157" s="2" t="s">
        <v>458</v>
      </c>
      <c r="L157" s="3">
        <v>18</v>
      </c>
      <c r="M157" s="3">
        <v>18.9</v>
      </c>
      <c r="N157" s="3">
        <v>39.99</v>
      </c>
      <c r="O157" s="2" t="s">
        <v>368</v>
      </c>
      <c r="P157" s="2" t="s">
        <v>215</v>
      </c>
      <c r="Q157" s="2" t="s">
        <v>97</v>
      </c>
      <c r="R157" s="2" t="s">
        <v>98</v>
      </c>
      <c r="S157" s="2" t="s">
        <v>679</v>
      </c>
      <c r="T157" s="2" t="s">
        <v>98</v>
      </c>
      <c r="U157" s="2" t="s">
        <v>100</v>
      </c>
      <c r="V157" s="2" t="s">
        <v>101</v>
      </c>
      <c r="W157" s="2" t="s">
        <v>335</v>
      </c>
      <c r="X157" s="2" t="s">
        <v>102</v>
      </c>
      <c r="Y157" s="2" t="s">
        <v>672</v>
      </c>
      <c r="Z157" s="4">
        <v>1</v>
      </c>
      <c r="AA157" s="4">
        <f>=ROUNDDOWN({0},0)</f>
      </c>
      <c r="AB157" s="5"/>
      <c r="AC157" s="2" t="s">
        <v>98</v>
      </c>
      <c r="AD157" s="4"/>
      <c r="AE157" s="4"/>
      <c r="AF157" s="6">
        <v>65</v>
      </c>
      <c r="AG157" s="6"/>
      <c r="AH157" s="7">
        <v>0.3667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26</v>
      </c>
      <c r="AS157" s="8">
        <v>438.88</v>
      </c>
      <c r="AT157" s="7">
        <v>-1</v>
      </c>
      <c r="AU157" s="7">
        <v>-1</v>
      </c>
      <c r="AV157" s="4" t="s">
        <v>98</v>
      </c>
      <c r="AW157" s="8" t="s">
        <v>98</v>
      </c>
      <c r="AX157" s="4">
        <v>32</v>
      </c>
      <c r="AY157" s="8">
        <v>554.62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/>
      <c r="BK157" s="8"/>
      <c r="BL157" s="2" t="s">
        <v>680</v>
      </c>
      <c r="BM157" s="7"/>
      <c r="BN157" s="7"/>
      <c r="BO157" s="4"/>
      <c r="BP157" s="8"/>
      <c r="BQ157" s="4">
        <v>26</v>
      </c>
      <c r="BR157" s="8">
        <v>438.88</v>
      </c>
      <c r="BS157" s="7">
        <v>-1</v>
      </c>
      <c r="BT157" s="7">
        <v>-1</v>
      </c>
      <c r="BU157" s="2" t="s">
        <v>211</v>
      </c>
      <c r="BV157" s="2" t="s">
        <v>352</v>
      </c>
      <c r="BW157" s="2" t="s">
        <v>570</v>
      </c>
      <c r="BX157" s="2" t="s">
        <v>674</v>
      </c>
      <c r="BY157" s="2" t="s">
        <v>354</v>
      </c>
    </row>
    <row r="158">
      <c r="A158" s="2" t="s">
        <v>681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666</v>
      </c>
      <c r="G158" s="2" t="s">
        <v>667</v>
      </c>
      <c r="H158" s="2" t="s">
        <v>668</v>
      </c>
      <c r="I158" s="2" t="s">
        <v>669</v>
      </c>
      <c r="J158" s="2" t="s">
        <v>113</v>
      </c>
      <c r="K158" s="2" t="s">
        <v>458</v>
      </c>
      <c r="L158" s="3">
        <v>20.7</v>
      </c>
      <c r="M158" s="3">
        <v>21.74</v>
      </c>
      <c r="N158" s="3">
        <v>44.99</v>
      </c>
      <c r="O158" s="2" t="s">
        <v>368</v>
      </c>
      <c r="P158" s="2" t="s">
        <v>215</v>
      </c>
      <c r="Q158" s="2" t="s">
        <v>97</v>
      </c>
      <c r="R158" s="2" t="s">
        <v>98</v>
      </c>
      <c r="S158" s="2" t="s">
        <v>679</v>
      </c>
      <c r="T158" s="2" t="s">
        <v>98</v>
      </c>
      <c r="U158" s="2" t="s">
        <v>100</v>
      </c>
      <c r="V158" s="2" t="s">
        <v>101</v>
      </c>
      <c r="W158" s="2" t="s">
        <v>335</v>
      </c>
      <c r="X158" s="2" t="s">
        <v>102</v>
      </c>
      <c r="Y158" s="2" t="s">
        <v>672</v>
      </c>
      <c r="Z158" s="4"/>
      <c r="AA158" s="4">
        <f>=ROUNDDOWN({0},0)</f>
      </c>
      <c r="AB158" s="5"/>
      <c r="AC158" s="2" t="s">
        <v>98</v>
      </c>
      <c r="AD158" s="4"/>
      <c r="AE158" s="4"/>
      <c r="AF158" s="6"/>
      <c r="AG158" s="6"/>
      <c r="AH158" s="7">
        <v>0.3667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>
        <v>6</v>
      </c>
      <c r="AS158" s="8">
        <v>115.74</v>
      </c>
      <c r="AT158" s="7">
        <v>-1</v>
      </c>
      <c r="AU158" s="7">
        <v>-1</v>
      </c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/>
      <c r="BK158" s="8"/>
      <c r="BL158" s="2" t="s">
        <v>588</v>
      </c>
      <c r="BM158" s="7"/>
      <c r="BN158" s="7"/>
      <c r="BO158" s="4"/>
      <c r="BP158" s="8"/>
      <c r="BQ158" s="4">
        <v>6</v>
      </c>
      <c r="BR158" s="8">
        <v>115.74</v>
      </c>
      <c r="BS158" s="7">
        <v>-1</v>
      </c>
      <c r="BT158" s="7">
        <v>-1</v>
      </c>
      <c r="BU158" s="2" t="s">
        <v>211</v>
      </c>
      <c r="BV158" s="2" t="s">
        <v>352</v>
      </c>
      <c r="BW158" s="2" t="s">
        <v>570</v>
      </c>
      <c r="BX158" s="2" t="s">
        <v>677</v>
      </c>
      <c r="BY158" s="2" t="s">
        <v>111</v>
      </c>
    </row>
    <row r="159">
      <c r="A159" s="2" t="s">
        <v>682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683</v>
      </c>
      <c r="G159" s="2" t="s">
        <v>684</v>
      </c>
      <c r="H159" s="2" t="s">
        <v>685</v>
      </c>
      <c r="I159" s="2" t="s">
        <v>686</v>
      </c>
      <c r="J159" s="2" t="s">
        <v>331</v>
      </c>
      <c r="K159" s="2" t="s">
        <v>94</v>
      </c>
      <c r="L159" s="3">
        <v>13.8</v>
      </c>
      <c r="M159" s="3">
        <v>14.49</v>
      </c>
      <c r="N159" s="3">
        <v>29.99</v>
      </c>
      <c r="O159" s="2" t="s">
        <v>95</v>
      </c>
      <c r="P159" s="2" t="s">
        <v>129</v>
      </c>
      <c r="Q159" s="2" t="s">
        <v>97</v>
      </c>
      <c r="R159" s="2" t="s">
        <v>98</v>
      </c>
      <c r="S159" s="2" t="s">
        <v>687</v>
      </c>
      <c r="T159" s="2" t="s">
        <v>98</v>
      </c>
      <c r="U159" s="2" t="s">
        <v>98</v>
      </c>
      <c r="V159" s="2" t="s">
        <v>101</v>
      </c>
      <c r="W159" s="2" t="s">
        <v>688</v>
      </c>
      <c r="X159" s="2" t="s">
        <v>372</v>
      </c>
      <c r="Y159" s="2" t="s">
        <v>104</v>
      </c>
      <c r="Z159" s="4"/>
      <c r="AA159" s="4">
        <f>=ROUNDDOWN({0},0)</f>
      </c>
      <c r="AB159" s="5">
        <v>7</v>
      </c>
      <c r="AC159" s="2" t="s">
        <v>376</v>
      </c>
      <c r="AD159" s="4">
        <v>168</v>
      </c>
      <c r="AE159" s="4">
        <v>168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10</v>
      </c>
      <c r="AQ159" s="8">
        <v>150</v>
      </c>
      <c r="AR159" s="4">
        <v>8</v>
      </c>
      <c r="AS159" s="8">
        <v>99.2</v>
      </c>
      <c r="AT159" s="7">
        <v>0.25</v>
      </c>
      <c r="AU159" s="7">
        <v>0.5121</v>
      </c>
      <c r="AV159" s="4">
        <v>12</v>
      </c>
      <c r="AW159" s="8">
        <v>185</v>
      </c>
      <c r="AX159" s="4">
        <v>43</v>
      </c>
      <c r="AY159" s="8">
        <v>602.85</v>
      </c>
      <c r="AZ159" s="7">
        <v>-0.7209</v>
      </c>
      <c r="BA159" s="7">
        <v>-0.6931</v>
      </c>
      <c r="BB159" s="7">
        <v>0.8108</v>
      </c>
      <c r="BC159" s="4">
        <v>12</v>
      </c>
      <c r="BD159" s="8">
        <v>185</v>
      </c>
      <c r="BE159" s="4">
        <v>43</v>
      </c>
      <c r="BF159" s="8">
        <v>602.85</v>
      </c>
      <c r="BG159" s="7">
        <v>-0.7209</v>
      </c>
      <c r="BH159" s="7">
        <v>-0.6931</v>
      </c>
      <c r="BI159" s="7">
        <v>1</v>
      </c>
      <c r="BJ159" s="4">
        <v>113</v>
      </c>
      <c r="BK159" s="8">
        <v>1686.79</v>
      </c>
      <c r="BL159" s="2" t="s">
        <v>689</v>
      </c>
      <c r="BM159" s="7">
        <v>0.0885</v>
      </c>
      <c r="BN159" s="7">
        <v>0.0889</v>
      </c>
      <c r="BO159" s="4">
        <v>10</v>
      </c>
      <c r="BP159" s="8">
        <v>150</v>
      </c>
      <c r="BQ159" s="4">
        <v>8</v>
      </c>
      <c r="BR159" s="8">
        <v>99.2</v>
      </c>
      <c r="BS159" s="7">
        <v>0.25</v>
      </c>
      <c r="BT159" s="7">
        <v>0.5121</v>
      </c>
      <c r="BU159" s="2" t="s">
        <v>211</v>
      </c>
      <c r="BV159" s="2" t="s">
        <v>95</v>
      </c>
      <c r="BW159" s="2" t="s">
        <v>524</v>
      </c>
      <c r="BX159" s="2" t="s">
        <v>690</v>
      </c>
      <c r="BY159" s="2" t="s">
        <v>111</v>
      </c>
    </row>
    <row r="160">
      <c r="A160" s="2" t="s">
        <v>691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683</v>
      </c>
      <c r="G160" s="2" t="s">
        <v>684</v>
      </c>
      <c r="H160" s="2" t="s">
        <v>685</v>
      </c>
      <c r="I160" s="2" t="s">
        <v>686</v>
      </c>
      <c r="J160" s="2" t="s">
        <v>93</v>
      </c>
      <c r="K160" s="2" t="s">
        <v>94</v>
      </c>
      <c r="L160" s="3">
        <v>16.1</v>
      </c>
      <c r="M160" s="3">
        <v>16.9</v>
      </c>
      <c r="N160" s="3">
        <v>34.99</v>
      </c>
      <c r="O160" s="2" t="s">
        <v>95</v>
      </c>
      <c r="P160" s="2" t="s">
        <v>129</v>
      </c>
      <c r="Q160" s="2" t="s">
        <v>97</v>
      </c>
      <c r="R160" s="2" t="s">
        <v>98</v>
      </c>
      <c r="S160" s="2" t="s">
        <v>687</v>
      </c>
      <c r="T160" s="2" t="s">
        <v>98</v>
      </c>
      <c r="U160" s="2" t="s">
        <v>98</v>
      </c>
      <c r="V160" s="2" t="s">
        <v>101</v>
      </c>
      <c r="W160" s="2" t="s">
        <v>688</v>
      </c>
      <c r="X160" s="2" t="s">
        <v>372</v>
      </c>
      <c r="Y160" s="2" t="s">
        <v>104</v>
      </c>
      <c r="Z160" s="4">
        <v>313</v>
      </c>
      <c r="AA160" s="4">
        <f>=ROUNDDOWN(16.4736842105263,0)</f>
      </c>
      <c r="AB160" s="5">
        <v>19</v>
      </c>
      <c r="AC160" s="2" t="s">
        <v>376</v>
      </c>
      <c r="AD160" s="4">
        <v>272</v>
      </c>
      <c r="AE160" s="4">
        <v>272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35</v>
      </c>
      <c r="AR160" s="4">
        <v>35</v>
      </c>
      <c r="AS160" s="8">
        <v>503.65</v>
      </c>
      <c r="AT160" s="7">
        <v>-0.9429</v>
      </c>
      <c r="AU160" s="7">
        <v>-0.9305</v>
      </c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0.1892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230</v>
      </c>
      <c r="BK160" s="8">
        <v>3829.35</v>
      </c>
      <c r="BL160" s="2" t="s">
        <v>692</v>
      </c>
      <c r="BM160" s="7">
        <v>0.0087</v>
      </c>
      <c r="BN160" s="7">
        <v>0.0091</v>
      </c>
      <c r="BO160" s="4">
        <v>2</v>
      </c>
      <c r="BP160" s="8">
        <v>35</v>
      </c>
      <c r="BQ160" s="4">
        <v>35</v>
      </c>
      <c r="BR160" s="8">
        <v>503.65</v>
      </c>
      <c r="BS160" s="7">
        <v>-0.9429</v>
      </c>
      <c r="BT160" s="7">
        <v>-0.9305</v>
      </c>
      <c r="BU160" s="2" t="s">
        <v>211</v>
      </c>
      <c r="BV160" s="2" t="s">
        <v>95</v>
      </c>
      <c r="BW160" s="2" t="s">
        <v>524</v>
      </c>
      <c r="BX160" s="2" t="s">
        <v>693</v>
      </c>
      <c r="BY160" s="2" t="s">
        <v>111</v>
      </c>
    </row>
    <row r="161">
      <c r="A161" s="2" t="s">
        <v>694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695</v>
      </c>
      <c r="G161" s="2" t="s">
        <v>696</v>
      </c>
      <c r="H161" s="2" t="s">
        <v>697</v>
      </c>
      <c r="I161" s="2" t="s">
        <v>698</v>
      </c>
      <c r="J161" s="2" t="s">
        <v>93</v>
      </c>
      <c r="K161" s="2" t="s">
        <v>557</v>
      </c>
      <c r="L161" s="3">
        <v>18.24</v>
      </c>
      <c r="M161" s="3">
        <v>19.15</v>
      </c>
      <c r="N161" s="3">
        <v>37.99</v>
      </c>
      <c r="O161" s="2" t="s">
        <v>95</v>
      </c>
      <c r="P161" s="2" t="s">
        <v>699</v>
      </c>
      <c r="Q161" s="2" t="s">
        <v>97</v>
      </c>
      <c r="R161" s="2" t="s">
        <v>98</v>
      </c>
      <c r="S161" s="2" t="s">
        <v>700</v>
      </c>
      <c r="T161" s="2" t="s">
        <v>98</v>
      </c>
      <c r="U161" s="2" t="s">
        <v>100</v>
      </c>
      <c r="V161" s="2" t="s">
        <v>701</v>
      </c>
      <c r="W161" s="2" t="s">
        <v>567</v>
      </c>
      <c r="X161" s="2" t="s">
        <v>372</v>
      </c>
      <c r="Y161" s="2" t="s">
        <v>702</v>
      </c>
      <c r="Z161" s="4">
        <v>258</v>
      </c>
      <c r="AA161" s="4">
        <f>=ROUNDDOWN(5.86363636363636,0)</f>
      </c>
      <c r="AB161" s="5">
        <v>44</v>
      </c>
      <c r="AC161" s="2" t="s">
        <v>703</v>
      </c>
      <c r="AD161" s="4">
        <v>4</v>
      </c>
      <c r="AE161" s="4">
        <v>1240</v>
      </c>
      <c r="AF161" s="6">
        <v>65</v>
      </c>
      <c r="AG161" s="6"/>
      <c r="AH161" s="7">
        <v>0.9444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4</v>
      </c>
      <c r="AQ161" s="8">
        <v>78.8</v>
      </c>
      <c r="AR161" s="4">
        <v>25</v>
      </c>
      <c r="AS161" s="8">
        <v>364.25</v>
      </c>
      <c r="AT161" s="7">
        <v>-0.84</v>
      </c>
      <c r="AU161" s="7">
        <v>-0.7837</v>
      </c>
      <c r="AV161" s="4">
        <v>8</v>
      </c>
      <c r="AW161" s="8">
        <v>157.6</v>
      </c>
      <c r="AX161" s="4">
        <v>46</v>
      </c>
      <c r="AY161" s="8">
        <v>697.26</v>
      </c>
      <c r="AZ161" s="7">
        <v>-0.8261</v>
      </c>
      <c r="BA161" s="7">
        <v>-0.774</v>
      </c>
      <c r="BB161" s="7">
        <v>1</v>
      </c>
      <c r="BC161" s="4">
        <v>8</v>
      </c>
      <c r="BD161" s="8">
        <v>157.6</v>
      </c>
      <c r="BE161" s="4">
        <v>91</v>
      </c>
      <c r="BF161" s="8">
        <v>1386.19</v>
      </c>
      <c r="BG161" s="7">
        <v>-0.9121</v>
      </c>
      <c r="BH161" s="7">
        <v>-0.8863</v>
      </c>
      <c r="BI161" s="7">
        <v>1</v>
      </c>
      <c r="BJ161" s="4">
        <v>384</v>
      </c>
      <c r="BK161" s="8">
        <v>6983</v>
      </c>
      <c r="BL161" s="2" t="s">
        <v>704</v>
      </c>
      <c r="BM161" s="7">
        <v>0.0104</v>
      </c>
      <c r="BN161" s="7">
        <v>0.0113</v>
      </c>
      <c r="BO161" s="4">
        <v>4</v>
      </c>
      <c r="BP161" s="8">
        <v>78.8</v>
      </c>
      <c r="BQ161" s="4">
        <v>25</v>
      </c>
      <c r="BR161" s="8">
        <v>364.25</v>
      </c>
      <c r="BS161" s="7">
        <v>-0.84</v>
      </c>
      <c r="BT161" s="7">
        <v>-0.7837</v>
      </c>
      <c r="BU161" s="2" t="s">
        <v>211</v>
      </c>
      <c r="BV161" s="2" t="s">
        <v>95</v>
      </c>
      <c r="BW161" s="2" t="s">
        <v>570</v>
      </c>
      <c r="BX161" s="2" t="s">
        <v>592</v>
      </c>
      <c r="BY161" s="2" t="s">
        <v>111</v>
      </c>
    </row>
    <row r="162">
      <c r="A162" s="2" t="s">
        <v>705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695</v>
      </c>
      <c r="G162" s="2" t="s">
        <v>696</v>
      </c>
      <c r="H162" s="2" t="s">
        <v>697</v>
      </c>
      <c r="I162" s="2" t="s">
        <v>706</v>
      </c>
      <c r="J162" s="2" t="s">
        <v>93</v>
      </c>
      <c r="K162" s="2" t="s">
        <v>557</v>
      </c>
      <c r="L162" s="3">
        <v>17.48</v>
      </c>
      <c r="M162" s="3">
        <v>18.35</v>
      </c>
      <c r="N162" s="3">
        <v>37.99</v>
      </c>
      <c r="O162" s="2" t="s">
        <v>95</v>
      </c>
      <c r="P162" s="2" t="s">
        <v>123</v>
      </c>
      <c r="Q162" s="2" t="s">
        <v>97</v>
      </c>
      <c r="R162" s="2" t="s">
        <v>98</v>
      </c>
      <c r="S162" s="2" t="s">
        <v>700</v>
      </c>
      <c r="T162" s="2" t="s">
        <v>98</v>
      </c>
      <c r="U162" s="2" t="s">
        <v>100</v>
      </c>
      <c r="V162" s="2" t="s">
        <v>701</v>
      </c>
      <c r="W162" s="2" t="s">
        <v>567</v>
      </c>
      <c r="X162" s="2" t="s">
        <v>372</v>
      </c>
      <c r="Y162" s="2" t="s">
        <v>702</v>
      </c>
      <c r="Z162" s="4">
        <v>1074</v>
      </c>
      <c r="AA162" s="4">
        <f>=ROUNDDOWN(8.390625,0)</f>
      </c>
      <c r="AB162" s="5">
        <v>128</v>
      </c>
      <c r="AC162" s="2" t="s">
        <v>707</v>
      </c>
      <c r="AD162" s="4">
        <v>676</v>
      </c>
      <c r="AE162" s="4">
        <v>3240</v>
      </c>
      <c r="AF162" s="6">
        <v>65</v>
      </c>
      <c r="AG162" s="6"/>
      <c r="AH162" s="7">
        <v>0.5</v>
      </c>
      <c r="AI162" s="4">
        <v>1</v>
      </c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4</v>
      </c>
      <c r="AQ162" s="8">
        <v>78.8</v>
      </c>
      <c r="AR162" s="4">
        <v>8</v>
      </c>
      <c r="AS162" s="8">
        <v>116.56</v>
      </c>
      <c r="AT162" s="7">
        <v>-0.5</v>
      </c>
      <c r="AU162" s="7">
        <v>-0.324</v>
      </c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 t="s">
        <v>98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601</v>
      </c>
      <c r="BK162" s="8">
        <v>10714.96</v>
      </c>
      <c r="BL162" s="2" t="s">
        <v>708</v>
      </c>
      <c r="BM162" s="7">
        <v>0.0067</v>
      </c>
      <c r="BN162" s="7">
        <v>0.0074</v>
      </c>
      <c r="BO162" s="4">
        <v>4</v>
      </c>
      <c r="BP162" s="8">
        <v>78.8</v>
      </c>
      <c r="BQ162" s="4">
        <v>8</v>
      </c>
      <c r="BR162" s="8">
        <v>116.56</v>
      </c>
      <c r="BS162" s="7">
        <v>-0.5</v>
      </c>
      <c r="BT162" s="7">
        <v>-0.324</v>
      </c>
      <c r="BU162" s="2" t="s">
        <v>107</v>
      </c>
      <c r="BV162" s="2" t="s">
        <v>108</v>
      </c>
      <c r="BW162" s="2" t="s">
        <v>570</v>
      </c>
      <c r="BX162" s="2" t="s">
        <v>709</v>
      </c>
      <c r="BY162" s="2" t="s">
        <v>111</v>
      </c>
    </row>
    <row r="163">
      <c r="A163" s="2" t="s">
        <v>710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695</v>
      </c>
      <c r="G163" s="2" t="s">
        <v>696</v>
      </c>
      <c r="H163" s="2" t="s">
        <v>697</v>
      </c>
      <c r="I163" s="2" t="s">
        <v>706</v>
      </c>
      <c r="J163" s="2" t="s">
        <v>113</v>
      </c>
      <c r="K163" s="2" t="s">
        <v>557</v>
      </c>
      <c r="L163" s="3">
        <v>20.21</v>
      </c>
      <c r="M163" s="3">
        <v>21.22</v>
      </c>
      <c r="N163" s="3">
        <v>42.99</v>
      </c>
      <c r="O163" s="2" t="s">
        <v>95</v>
      </c>
      <c r="P163" s="2" t="s">
        <v>123</v>
      </c>
      <c r="Q163" s="2" t="s">
        <v>97</v>
      </c>
      <c r="R163" s="2" t="s">
        <v>98</v>
      </c>
      <c r="S163" s="2" t="s">
        <v>700</v>
      </c>
      <c r="T163" s="2" t="s">
        <v>98</v>
      </c>
      <c r="U163" s="2" t="s">
        <v>100</v>
      </c>
      <c r="V163" s="2" t="s">
        <v>701</v>
      </c>
      <c r="W163" s="2" t="s">
        <v>567</v>
      </c>
      <c r="X163" s="2" t="s">
        <v>372</v>
      </c>
      <c r="Y163" s="2" t="s">
        <v>702</v>
      </c>
      <c r="Z163" s="4">
        <v>1844</v>
      </c>
      <c r="AA163" s="4">
        <f>=ROUNDDOWN(9.08374384236453,0)</f>
      </c>
      <c r="AB163" s="5">
        <v>203</v>
      </c>
      <c r="AC163" s="2" t="s">
        <v>707</v>
      </c>
      <c r="AD163" s="4">
        <v>1000</v>
      </c>
      <c r="AE163" s="4">
        <v>5508</v>
      </c>
      <c r="AF163" s="6">
        <v>65</v>
      </c>
      <c r="AG163" s="6"/>
      <c r="AH163" s="7">
        <v>0.5444</v>
      </c>
      <c r="AI163" s="4">
        <v>1</v>
      </c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13</v>
      </c>
      <c r="AS163" s="8">
        <v>216.45</v>
      </c>
      <c r="AT163" s="7">
        <v>-1</v>
      </c>
      <c r="AU163" s="7">
        <v>-1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1033</v>
      </c>
      <c r="BK163" s="8">
        <v>21240.51</v>
      </c>
      <c r="BL163" s="2" t="s">
        <v>711</v>
      </c>
      <c r="BM163" s="7"/>
      <c r="BN163" s="7"/>
      <c r="BO163" s="4"/>
      <c r="BP163" s="8"/>
      <c r="BQ163" s="4">
        <v>13</v>
      </c>
      <c r="BR163" s="8">
        <v>216.45</v>
      </c>
      <c r="BS163" s="7">
        <v>-1</v>
      </c>
      <c r="BT163" s="7">
        <v>-1</v>
      </c>
      <c r="BU163" s="2" t="s">
        <v>211</v>
      </c>
      <c r="BV163" s="2" t="s">
        <v>95</v>
      </c>
      <c r="BW163" s="2" t="s">
        <v>570</v>
      </c>
      <c r="BX163" s="2" t="s">
        <v>712</v>
      </c>
      <c r="BY163" s="2" t="s">
        <v>111</v>
      </c>
    </row>
    <row r="164">
      <c r="A164" s="2" t="s">
        <v>713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695</v>
      </c>
      <c r="G164" s="2" t="s">
        <v>696</v>
      </c>
      <c r="H164" s="2" t="s">
        <v>697</v>
      </c>
      <c r="I164" s="2" t="s">
        <v>698</v>
      </c>
      <c r="J164" s="2" t="s">
        <v>93</v>
      </c>
      <c r="K164" s="2" t="s">
        <v>464</v>
      </c>
      <c r="L164" s="3">
        <v>18.24</v>
      </c>
      <c r="M164" s="3">
        <v>19.15</v>
      </c>
      <c r="N164" s="3">
        <v>37.99</v>
      </c>
      <c r="O164" s="2" t="s">
        <v>368</v>
      </c>
      <c r="P164" s="2" t="s">
        <v>215</v>
      </c>
      <c r="Q164" s="2" t="s">
        <v>97</v>
      </c>
      <c r="R164" s="2" t="s">
        <v>98</v>
      </c>
      <c r="S164" s="2" t="s">
        <v>714</v>
      </c>
      <c r="T164" s="2" t="s">
        <v>98</v>
      </c>
      <c r="U164" s="2" t="s">
        <v>100</v>
      </c>
      <c r="V164" s="2" t="s">
        <v>701</v>
      </c>
      <c r="W164" s="2" t="s">
        <v>567</v>
      </c>
      <c r="X164" s="2" t="s">
        <v>715</v>
      </c>
      <c r="Y164" s="2" t="s">
        <v>702</v>
      </c>
      <c r="Z164" s="4">
        <v>3</v>
      </c>
      <c r="AA164" s="4">
        <f>=ROUNDDOWN(0.461538461538462,0)</f>
      </c>
      <c r="AB164" s="5">
        <v>6.5</v>
      </c>
      <c r="AC164" s="2" t="s">
        <v>98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>
        <v>8</v>
      </c>
      <c r="AS164" s="8">
        <v>116.56</v>
      </c>
      <c r="AT164" s="7">
        <v>-1</v>
      </c>
      <c r="AU164" s="7">
        <v>-1</v>
      </c>
      <c r="AV164" s="4" t="s">
        <v>98</v>
      </c>
      <c r="AW164" s="8" t="s">
        <v>98</v>
      </c>
      <c r="AX164" s="4">
        <v>14</v>
      </c>
      <c r="AY164" s="8">
        <v>216.46</v>
      </c>
      <c r="AZ164" s="7" t="s">
        <v>98</v>
      </c>
      <c r="BA164" s="7" t="s">
        <v>98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84</v>
      </c>
      <c r="BK164" s="8">
        <v>1078.36</v>
      </c>
      <c r="BL164" s="2" t="s">
        <v>716</v>
      </c>
      <c r="BM164" s="7"/>
      <c r="BN164" s="7"/>
      <c r="BO164" s="4"/>
      <c r="BP164" s="8"/>
      <c r="BQ164" s="4">
        <v>8</v>
      </c>
      <c r="BR164" s="8">
        <v>116.56</v>
      </c>
      <c r="BS164" s="7">
        <v>-1</v>
      </c>
      <c r="BT164" s="7">
        <v>-1</v>
      </c>
      <c r="BU164" s="2" t="s">
        <v>211</v>
      </c>
      <c r="BV164" s="2" t="s">
        <v>352</v>
      </c>
      <c r="BW164" s="2" t="s">
        <v>570</v>
      </c>
      <c r="BX164" s="2" t="s">
        <v>717</v>
      </c>
      <c r="BY164" s="2" t="s">
        <v>354</v>
      </c>
    </row>
    <row r="165">
      <c r="A165" s="2" t="s">
        <v>718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695</v>
      </c>
      <c r="G165" s="2" t="s">
        <v>696</v>
      </c>
      <c r="H165" s="2" t="s">
        <v>697</v>
      </c>
      <c r="I165" s="2" t="s">
        <v>719</v>
      </c>
      <c r="J165" s="2" t="s">
        <v>113</v>
      </c>
      <c r="K165" s="2" t="s">
        <v>464</v>
      </c>
      <c r="L165" s="3">
        <v>20.21</v>
      </c>
      <c r="M165" s="3">
        <v>21.22</v>
      </c>
      <c r="N165" s="3">
        <v>42.99</v>
      </c>
      <c r="O165" s="2" t="s">
        <v>368</v>
      </c>
      <c r="P165" s="2" t="s">
        <v>215</v>
      </c>
      <c r="Q165" s="2" t="s">
        <v>97</v>
      </c>
      <c r="R165" s="2" t="s">
        <v>98</v>
      </c>
      <c r="S165" s="2" t="s">
        <v>714</v>
      </c>
      <c r="T165" s="2" t="s">
        <v>98</v>
      </c>
      <c r="U165" s="2" t="s">
        <v>100</v>
      </c>
      <c r="V165" s="2" t="s">
        <v>701</v>
      </c>
      <c r="W165" s="2" t="s">
        <v>567</v>
      </c>
      <c r="X165" s="2" t="s">
        <v>715</v>
      </c>
      <c r="Y165" s="2" t="s">
        <v>702</v>
      </c>
      <c r="Z165" s="4"/>
      <c r="AA165" s="4">
        <f>=ROUNDDOWN({0},0)</f>
      </c>
      <c r="AB165" s="5"/>
      <c r="AC165" s="2" t="s">
        <v>98</v>
      </c>
      <c r="AD165" s="4"/>
      <c r="AE165" s="4"/>
      <c r="AF165" s="6"/>
      <c r="AG165" s="6"/>
      <c r="AH165" s="7">
        <v>0.4222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>
        <v>6</v>
      </c>
      <c r="AS165" s="8">
        <v>99.9</v>
      </c>
      <c r="AT165" s="7">
        <v>-1</v>
      </c>
      <c r="AU165" s="7">
        <v>-1</v>
      </c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/>
      <c r="BK165" s="8"/>
      <c r="BL165" s="2" t="s">
        <v>673</v>
      </c>
      <c r="BM165" s="7"/>
      <c r="BN165" s="7"/>
      <c r="BO165" s="4"/>
      <c r="BP165" s="8"/>
      <c r="BQ165" s="4">
        <v>6</v>
      </c>
      <c r="BR165" s="8">
        <v>99.9</v>
      </c>
      <c r="BS165" s="7">
        <v>-1</v>
      </c>
      <c r="BT165" s="7">
        <v>-1</v>
      </c>
      <c r="BU165" s="2" t="s">
        <v>211</v>
      </c>
      <c r="BV165" s="2" t="s">
        <v>352</v>
      </c>
      <c r="BW165" s="2" t="s">
        <v>570</v>
      </c>
      <c r="BX165" s="2" t="s">
        <v>720</v>
      </c>
      <c r="BY165" s="2" t="s">
        <v>111</v>
      </c>
    </row>
    <row r="166">
      <c r="A166" s="2" t="s">
        <v>721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695</v>
      </c>
      <c r="G166" s="2" t="s">
        <v>696</v>
      </c>
      <c r="H166" s="2" t="s">
        <v>697</v>
      </c>
      <c r="I166" s="2" t="s">
        <v>698</v>
      </c>
      <c r="J166" s="2" t="s">
        <v>93</v>
      </c>
      <c r="K166" s="2" t="s">
        <v>722</v>
      </c>
      <c r="L166" s="3">
        <v>18.24</v>
      </c>
      <c r="M166" s="3">
        <v>19.15</v>
      </c>
      <c r="N166" s="3">
        <v>37.99</v>
      </c>
      <c r="O166" s="2" t="s">
        <v>95</v>
      </c>
      <c r="P166" s="2" t="s">
        <v>699</v>
      </c>
      <c r="Q166" s="2" t="s">
        <v>97</v>
      </c>
      <c r="R166" s="2" t="s">
        <v>98</v>
      </c>
      <c r="S166" s="2" t="s">
        <v>723</v>
      </c>
      <c r="T166" s="2" t="s">
        <v>98</v>
      </c>
      <c r="U166" s="2" t="s">
        <v>100</v>
      </c>
      <c r="V166" s="2" t="s">
        <v>701</v>
      </c>
      <c r="W166" s="2" t="s">
        <v>567</v>
      </c>
      <c r="X166" s="2" t="s">
        <v>372</v>
      </c>
      <c r="Y166" s="2" t="s">
        <v>702</v>
      </c>
      <c r="Z166" s="4">
        <v>273</v>
      </c>
      <c r="AA166" s="4">
        <f>=ROUNDDOWN(10.1111111111111,0)</f>
      </c>
      <c r="AB166" s="5">
        <v>27</v>
      </c>
      <c r="AC166" s="2" t="s">
        <v>250</v>
      </c>
      <c r="AD166" s="4">
        <v>148</v>
      </c>
      <c r="AE166" s="4">
        <v>788</v>
      </c>
      <c r="AF166" s="6">
        <v>65</v>
      </c>
      <c r="AG166" s="6"/>
      <c r="AH166" s="7">
        <v>0.5556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6</v>
      </c>
      <c r="AS166" s="8">
        <v>87.42</v>
      </c>
      <c r="AT166" s="7">
        <v>-1</v>
      </c>
      <c r="AU166" s="7">
        <v>-1</v>
      </c>
      <c r="AV166" s="4" t="s">
        <v>98</v>
      </c>
      <c r="AW166" s="8" t="s">
        <v>98</v>
      </c>
      <c r="AX166" s="4">
        <v>31</v>
      </c>
      <c r="AY166" s="8">
        <v>472.47</v>
      </c>
      <c r="AZ166" s="7" t="s">
        <v>98</v>
      </c>
      <c r="BA166" s="7" t="s">
        <v>98</v>
      </c>
      <c r="BB166" s="7" t="s">
        <v>98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107</v>
      </c>
      <c r="BK166" s="8">
        <v>2035.45</v>
      </c>
      <c r="BL166" s="2" t="s">
        <v>724</v>
      </c>
      <c r="BM166" s="7"/>
      <c r="BN166" s="7"/>
      <c r="BO166" s="4"/>
      <c r="BP166" s="8"/>
      <c r="BQ166" s="4">
        <v>6</v>
      </c>
      <c r="BR166" s="8">
        <v>87.42</v>
      </c>
      <c r="BS166" s="7">
        <v>-1</v>
      </c>
      <c r="BT166" s="7">
        <v>-1</v>
      </c>
      <c r="BU166" s="2" t="s">
        <v>211</v>
      </c>
      <c r="BV166" s="2" t="s">
        <v>95</v>
      </c>
      <c r="BW166" s="2" t="s">
        <v>570</v>
      </c>
      <c r="BX166" s="2" t="s">
        <v>725</v>
      </c>
      <c r="BY166" s="2" t="s">
        <v>111</v>
      </c>
    </row>
    <row r="167">
      <c r="A167" s="2" t="s">
        <v>726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695</v>
      </c>
      <c r="G167" s="2" t="s">
        <v>696</v>
      </c>
      <c r="H167" s="2" t="s">
        <v>697</v>
      </c>
      <c r="I167" s="2" t="s">
        <v>706</v>
      </c>
      <c r="J167" s="2" t="s">
        <v>93</v>
      </c>
      <c r="K167" s="2" t="s">
        <v>722</v>
      </c>
      <c r="L167" s="3">
        <v>17.48</v>
      </c>
      <c r="M167" s="3">
        <v>18.35</v>
      </c>
      <c r="N167" s="3">
        <v>37.99</v>
      </c>
      <c r="O167" s="2" t="s">
        <v>95</v>
      </c>
      <c r="P167" s="2" t="s">
        <v>699</v>
      </c>
      <c r="Q167" s="2" t="s">
        <v>97</v>
      </c>
      <c r="R167" s="2" t="s">
        <v>98</v>
      </c>
      <c r="S167" s="2" t="s">
        <v>723</v>
      </c>
      <c r="T167" s="2" t="s">
        <v>98</v>
      </c>
      <c r="U167" s="2" t="s">
        <v>100</v>
      </c>
      <c r="V167" s="2" t="s">
        <v>701</v>
      </c>
      <c r="W167" s="2" t="s">
        <v>567</v>
      </c>
      <c r="X167" s="2" t="s">
        <v>372</v>
      </c>
      <c r="Y167" s="2" t="s">
        <v>702</v>
      </c>
      <c r="Z167" s="4">
        <v>1393</v>
      </c>
      <c r="AA167" s="4">
        <f>=ROUNDDOWN(11.5123966942149,0)</f>
      </c>
      <c r="AB167" s="5">
        <v>121</v>
      </c>
      <c r="AC167" s="2" t="s">
        <v>250</v>
      </c>
      <c r="AD167" s="4">
        <v>1224</v>
      </c>
      <c r="AE167" s="4">
        <v>4136</v>
      </c>
      <c r="AF167" s="6">
        <v>65</v>
      </c>
      <c r="AG167" s="6"/>
      <c r="AH167" s="7">
        <v>0.2556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15</v>
      </c>
      <c r="AS167" s="8">
        <v>218.55</v>
      </c>
      <c r="AT167" s="7">
        <v>-1</v>
      </c>
      <c r="AU167" s="7">
        <v>-1</v>
      </c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 t="s">
        <v>98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514</v>
      </c>
      <c r="BK167" s="8">
        <v>9771</v>
      </c>
      <c r="BL167" s="2" t="s">
        <v>727</v>
      </c>
      <c r="BM167" s="7"/>
      <c r="BN167" s="7"/>
      <c r="BO167" s="4"/>
      <c r="BP167" s="8"/>
      <c r="BQ167" s="4">
        <v>15</v>
      </c>
      <c r="BR167" s="8">
        <v>218.55</v>
      </c>
      <c r="BS167" s="7">
        <v>-1</v>
      </c>
      <c r="BT167" s="7">
        <v>-1</v>
      </c>
      <c r="BU167" s="2" t="s">
        <v>107</v>
      </c>
      <c r="BV167" s="2" t="s">
        <v>108</v>
      </c>
      <c r="BW167" s="2" t="s">
        <v>570</v>
      </c>
      <c r="BX167" s="2" t="s">
        <v>728</v>
      </c>
      <c r="BY167" s="2" t="s">
        <v>111</v>
      </c>
    </row>
    <row r="168">
      <c r="A168" s="2" t="s">
        <v>729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695</v>
      </c>
      <c r="G168" s="2" t="s">
        <v>696</v>
      </c>
      <c r="H168" s="2" t="s">
        <v>697</v>
      </c>
      <c r="I168" s="2" t="s">
        <v>706</v>
      </c>
      <c r="J168" s="2" t="s">
        <v>113</v>
      </c>
      <c r="K168" s="2" t="s">
        <v>722</v>
      </c>
      <c r="L168" s="3">
        <v>20.21</v>
      </c>
      <c r="M168" s="3">
        <v>21.22</v>
      </c>
      <c r="N168" s="3">
        <v>42.99</v>
      </c>
      <c r="O168" s="2" t="s">
        <v>95</v>
      </c>
      <c r="P168" s="2" t="s">
        <v>123</v>
      </c>
      <c r="Q168" s="2" t="s">
        <v>97</v>
      </c>
      <c r="R168" s="2" t="s">
        <v>98</v>
      </c>
      <c r="S168" s="2" t="s">
        <v>723</v>
      </c>
      <c r="T168" s="2" t="s">
        <v>98</v>
      </c>
      <c r="U168" s="2" t="s">
        <v>100</v>
      </c>
      <c r="V168" s="2" t="s">
        <v>701</v>
      </c>
      <c r="W168" s="2" t="s">
        <v>567</v>
      </c>
      <c r="X168" s="2" t="s">
        <v>372</v>
      </c>
      <c r="Y168" s="2" t="s">
        <v>702</v>
      </c>
      <c r="Z168" s="4">
        <v>960</v>
      </c>
      <c r="AA168" s="4">
        <f>=ROUNDDOWN(6.98181818181818,0)</f>
      </c>
      <c r="AB168" s="5">
        <v>137.5</v>
      </c>
      <c r="AC168" s="2" t="s">
        <v>250</v>
      </c>
      <c r="AD168" s="4">
        <v>352</v>
      </c>
      <c r="AE168" s="4">
        <v>3016</v>
      </c>
      <c r="AF168" s="6">
        <v>65</v>
      </c>
      <c r="AG168" s="6"/>
      <c r="AH168" s="7">
        <v>0.4778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10</v>
      </c>
      <c r="AS168" s="8">
        <v>166.5</v>
      </c>
      <c r="AT168" s="7">
        <v>-1</v>
      </c>
      <c r="AU168" s="7">
        <v>-1</v>
      </c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584</v>
      </c>
      <c r="BK168" s="8">
        <v>12440.06</v>
      </c>
      <c r="BL168" s="2" t="s">
        <v>730</v>
      </c>
      <c r="BM168" s="7"/>
      <c r="BN168" s="7"/>
      <c r="BO168" s="4"/>
      <c r="BP168" s="8"/>
      <c r="BQ168" s="4">
        <v>10</v>
      </c>
      <c r="BR168" s="8">
        <v>166.5</v>
      </c>
      <c r="BS168" s="7">
        <v>-1</v>
      </c>
      <c r="BT168" s="7">
        <v>-1</v>
      </c>
      <c r="BU168" s="2" t="s">
        <v>211</v>
      </c>
      <c r="BV168" s="2" t="s">
        <v>95</v>
      </c>
      <c r="BW168" s="2" t="s">
        <v>570</v>
      </c>
      <c r="BX168" s="2" t="s">
        <v>731</v>
      </c>
      <c r="BY168" s="2" t="s">
        <v>111</v>
      </c>
    </row>
    <row r="169">
      <c r="A169" s="2" t="s">
        <v>732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695</v>
      </c>
      <c r="G169" s="2" t="s">
        <v>696</v>
      </c>
      <c r="H169" s="2" t="s">
        <v>697</v>
      </c>
      <c r="I169" s="2" t="s">
        <v>698</v>
      </c>
      <c r="J169" s="2" t="s">
        <v>93</v>
      </c>
      <c r="K169" s="2" t="s">
        <v>323</v>
      </c>
      <c r="L169" s="3">
        <v>18.24</v>
      </c>
      <c r="M169" s="3">
        <v>19.15</v>
      </c>
      <c r="N169" s="3">
        <v>37.99</v>
      </c>
      <c r="O169" s="2" t="s">
        <v>95</v>
      </c>
      <c r="P169" s="2" t="s">
        <v>313</v>
      </c>
      <c r="Q169" s="2" t="s">
        <v>97</v>
      </c>
      <c r="R169" s="2" t="s">
        <v>98</v>
      </c>
      <c r="S169" s="2" t="s">
        <v>733</v>
      </c>
      <c r="T169" s="2" t="s">
        <v>98</v>
      </c>
      <c r="U169" s="2" t="s">
        <v>100</v>
      </c>
      <c r="V169" s="2" t="s">
        <v>701</v>
      </c>
      <c r="W169" s="2" t="s">
        <v>734</v>
      </c>
      <c r="X169" s="2" t="s">
        <v>372</v>
      </c>
      <c r="Y169" s="2" t="s">
        <v>735</v>
      </c>
      <c r="Z169" s="4"/>
      <c r="AA169" s="4">
        <f>=ROUNDDOWN({0},0)</f>
      </c>
      <c r="AB169" s="5">
        <v>14</v>
      </c>
      <c r="AC169" s="2" t="s">
        <v>158</v>
      </c>
      <c r="AD169" s="4">
        <v>300</v>
      </c>
      <c r="AE169" s="4">
        <v>384</v>
      </c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 t="s">
        <v>98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316</v>
      </c>
      <c r="BV169" s="2" t="s">
        <v>95</v>
      </c>
      <c r="BW169" s="2" t="s">
        <v>98</v>
      </c>
      <c r="BX169" s="2" t="s">
        <v>98</v>
      </c>
      <c r="BY169" s="2" t="s">
        <v>111</v>
      </c>
    </row>
    <row r="170">
      <c r="A170" s="2" t="s">
        <v>736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695</v>
      </c>
      <c r="G170" s="2" t="s">
        <v>696</v>
      </c>
      <c r="H170" s="2" t="s">
        <v>697</v>
      </c>
      <c r="I170" s="2" t="s">
        <v>706</v>
      </c>
      <c r="J170" s="2" t="s">
        <v>93</v>
      </c>
      <c r="K170" s="2" t="s">
        <v>323</v>
      </c>
      <c r="L170" s="3">
        <v>17.48</v>
      </c>
      <c r="M170" s="3">
        <v>18.35</v>
      </c>
      <c r="N170" s="3">
        <v>37.99</v>
      </c>
      <c r="O170" s="2" t="s">
        <v>95</v>
      </c>
      <c r="P170" s="2" t="s">
        <v>313</v>
      </c>
      <c r="Q170" s="2" t="s">
        <v>97</v>
      </c>
      <c r="R170" s="2" t="s">
        <v>98</v>
      </c>
      <c r="S170" s="2" t="s">
        <v>733</v>
      </c>
      <c r="T170" s="2" t="s">
        <v>98</v>
      </c>
      <c r="U170" s="2" t="s">
        <v>100</v>
      </c>
      <c r="V170" s="2" t="s">
        <v>701</v>
      </c>
      <c r="W170" s="2" t="s">
        <v>734</v>
      </c>
      <c r="X170" s="2" t="s">
        <v>372</v>
      </c>
      <c r="Y170" s="2" t="s">
        <v>737</v>
      </c>
      <c r="Z170" s="4">
        <v>197</v>
      </c>
      <c r="AA170" s="4">
        <f>=ROUNDDOWN(2.81428571428571,0)</f>
      </c>
      <c r="AB170" s="5">
        <v>70</v>
      </c>
      <c r="AC170" s="2" t="s">
        <v>158</v>
      </c>
      <c r="AD170" s="4">
        <v>1472</v>
      </c>
      <c r="AE170" s="4">
        <v>1960</v>
      </c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 t="s">
        <v>98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/>
      <c r="BK170" s="8"/>
      <c r="BL170" s="2" t="s">
        <v>98</v>
      </c>
      <c r="BM170" s="7"/>
      <c r="BN170" s="7"/>
      <c r="BO170" s="4"/>
      <c r="BP170" s="8"/>
      <c r="BQ170" s="4"/>
      <c r="BR170" s="8"/>
      <c r="BS170" s="7"/>
      <c r="BT170" s="7"/>
      <c r="BU170" s="2" t="s">
        <v>316</v>
      </c>
      <c r="BV170" s="2" t="s">
        <v>95</v>
      </c>
      <c r="BW170" s="2" t="s">
        <v>98</v>
      </c>
      <c r="BX170" s="2" t="s">
        <v>98</v>
      </c>
      <c r="BY170" s="2" t="s">
        <v>111</v>
      </c>
    </row>
    <row r="171">
      <c r="A171" s="2" t="s">
        <v>738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695</v>
      </c>
      <c r="G171" s="2" t="s">
        <v>696</v>
      </c>
      <c r="H171" s="2" t="s">
        <v>697</v>
      </c>
      <c r="I171" s="2" t="s">
        <v>706</v>
      </c>
      <c r="J171" s="2" t="s">
        <v>113</v>
      </c>
      <c r="K171" s="2" t="s">
        <v>323</v>
      </c>
      <c r="L171" s="3">
        <v>20.21</v>
      </c>
      <c r="M171" s="3">
        <v>21.22</v>
      </c>
      <c r="N171" s="3">
        <v>42.99</v>
      </c>
      <c r="O171" s="2" t="s">
        <v>95</v>
      </c>
      <c r="P171" s="2" t="s">
        <v>313</v>
      </c>
      <c r="Q171" s="2" t="s">
        <v>97</v>
      </c>
      <c r="R171" s="2" t="s">
        <v>98</v>
      </c>
      <c r="S171" s="2" t="s">
        <v>733</v>
      </c>
      <c r="T171" s="2" t="s">
        <v>98</v>
      </c>
      <c r="U171" s="2" t="s">
        <v>100</v>
      </c>
      <c r="V171" s="2" t="s">
        <v>701</v>
      </c>
      <c r="W171" s="2" t="s">
        <v>734</v>
      </c>
      <c r="X171" s="2" t="s">
        <v>372</v>
      </c>
      <c r="Y171" s="2" t="s">
        <v>737</v>
      </c>
      <c r="Z171" s="4">
        <v>525</v>
      </c>
      <c r="AA171" s="4">
        <f>=ROUNDDOWN(13.4615384615385,0)</f>
      </c>
      <c r="AB171" s="5">
        <v>39</v>
      </c>
      <c r="AC171" s="2" t="s">
        <v>158</v>
      </c>
      <c r="AD171" s="4">
        <v>476</v>
      </c>
      <c r="AE171" s="4">
        <v>952</v>
      </c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/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/>
      <c r="BK171" s="8"/>
      <c r="BL171" s="2" t="s">
        <v>98</v>
      </c>
      <c r="BM171" s="7"/>
      <c r="BN171" s="7"/>
      <c r="BO171" s="4"/>
      <c r="BP171" s="8"/>
      <c r="BQ171" s="4"/>
      <c r="BR171" s="8"/>
      <c r="BS171" s="7"/>
      <c r="BT171" s="7"/>
      <c r="BU171" s="2" t="s">
        <v>316</v>
      </c>
      <c r="BV171" s="2" t="s">
        <v>95</v>
      </c>
      <c r="BW171" s="2" t="s">
        <v>98</v>
      </c>
      <c r="BX171" s="2" t="s">
        <v>98</v>
      </c>
      <c r="BY171" s="2" t="s">
        <v>111</v>
      </c>
    </row>
    <row r="172">
      <c r="A172" s="2" t="s">
        <v>739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695</v>
      </c>
      <c r="G172" s="2" t="s">
        <v>696</v>
      </c>
      <c r="H172" s="2" t="s">
        <v>697</v>
      </c>
      <c r="I172" s="2" t="s">
        <v>706</v>
      </c>
      <c r="J172" s="2" t="s">
        <v>93</v>
      </c>
      <c r="K172" s="2" t="s">
        <v>458</v>
      </c>
      <c r="L172" s="3">
        <v>17.48</v>
      </c>
      <c r="M172" s="3">
        <v>18.35</v>
      </c>
      <c r="N172" s="3">
        <v>37.99</v>
      </c>
      <c r="O172" s="2" t="s">
        <v>95</v>
      </c>
      <c r="P172" s="2" t="s">
        <v>313</v>
      </c>
      <c r="Q172" s="2" t="s">
        <v>97</v>
      </c>
      <c r="R172" s="2" t="s">
        <v>98</v>
      </c>
      <c r="S172" s="2" t="s">
        <v>740</v>
      </c>
      <c r="T172" s="2" t="s">
        <v>98</v>
      </c>
      <c r="U172" s="2" t="s">
        <v>100</v>
      </c>
      <c r="V172" s="2" t="s">
        <v>701</v>
      </c>
      <c r="W172" s="2" t="s">
        <v>734</v>
      </c>
      <c r="X172" s="2" t="s">
        <v>372</v>
      </c>
      <c r="Y172" s="2" t="s">
        <v>737</v>
      </c>
      <c r="Z172" s="4">
        <v>451</v>
      </c>
      <c r="AA172" s="4">
        <f>=ROUNDDOWN(9.39583333333333,0)</f>
      </c>
      <c r="AB172" s="5">
        <v>48</v>
      </c>
      <c r="AC172" s="2" t="s">
        <v>158</v>
      </c>
      <c r="AD172" s="4">
        <v>960</v>
      </c>
      <c r="AE172" s="4">
        <v>960</v>
      </c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 t="s">
        <v>98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316</v>
      </c>
      <c r="BV172" s="2" t="s">
        <v>95</v>
      </c>
      <c r="BW172" s="2" t="s">
        <v>98</v>
      </c>
      <c r="BX172" s="2" t="s">
        <v>98</v>
      </c>
      <c r="BY172" s="2" t="s">
        <v>111</v>
      </c>
    </row>
    <row r="173">
      <c r="A173" s="2" t="s">
        <v>741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695</v>
      </c>
      <c r="G173" s="2" t="s">
        <v>696</v>
      </c>
      <c r="H173" s="2" t="s">
        <v>697</v>
      </c>
      <c r="I173" s="2" t="s">
        <v>698</v>
      </c>
      <c r="J173" s="2" t="s">
        <v>93</v>
      </c>
      <c r="K173" s="2" t="s">
        <v>458</v>
      </c>
      <c r="L173" s="3">
        <v>18.24</v>
      </c>
      <c r="M173" s="3">
        <v>19.15</v>
      </c>
      <c r="N173" s="3">
        <v>37.99</v>
      </c>
      <c r="O173" s="2" t="s">
        <v>95</v>
      </c>
      <c r="P173" s="2" t="s">
        <v>313</v>
      </c>
      <c r="Q173" s="2" t="s">
        <v>97</v>
      </c>
      <c r="R173" s="2" t="s">
        <v>98</v>
      </c>
      <c r="S173" s="2" t="s">
        <v>740</v>
      </c>
      <c r="T173" s="2" t="s">
        <v>98</v>
      </c>
      <c r="U173" s="2" t="s">
        <v>100</v>
      </c>
      <c r="V173" s="2" t="s">
        <v>701</v>
      </c>
      <c r="W173" s="2" t="s">
        <v>734</v>
      </c>
      <c r="X173" s="2" t="s">
        <v>372</v>
      </c>
      <c r="Y173" s="2" t="s">
        <v>735</v>
      </c>
      <c r="Z173" s="4">
        <v>86</v>
      </c>
      <c r="AA173" s="4">
        <f>=ROUNDDOWN(10.75,0)</f>
      </c>
      <c r="AB173" s="5">
        <v>8</v>
      </c>
      <c r="AC173" s="2" t="s">
        <v>158</v>
      </c>
      <c r="AD173" s="4">
        <v>168</v>
      </c>
      <c r="AE173" s="4">
        <v>168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 t="s">
        <v>98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316</v>
      </c>
      <c r="BV173" s="2" t="s">
        <v>95</v>
      </c>
      <c r="BW173" s="2" t="s">
        <v>98</v>
      </c>
      <c r="BX173" s="2" t="s">
        <v>98</v>
      </c>
      <c r="BY173" s="2" t="s">
        <v>111</v>
      </c>
    </row>
    <row r="174">
      <c r="A174" s="2" t="s">
        <v>742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695</v>
      </c>
      <c r="G174" s="2" t="s">
        <v>696</v>
      </c>
      <c r="H174" s="2" t="s">
        <v>697</v>
      </c>
      <c r="I174" s="2" t="s">
        <v>706</v>
      </c>
      <c r="J174" s="2" t="s">
        <v>113</v>
      </c>
      <c r="K174" s="2" t="s">
        <v>458</v>
      </c>
      <c r="L174" s="3">
        <v>20.21</v>
      </c>
      <c r="M174" s="3">
        <v>21.22</v>
      </c>
      <c r="N174" s="3">
        <v>42.99</v>
      </c>
      <c r="O174" s="2" t="s">
        <v>95</v>
      </c>
      <c r="P174" s="2" t="s">
        <v>313</v>
      </c>
      <c r="Q174" s="2" t="s">
        <v>97</v>
      </c>
      <c r="R174" s="2" t="s">
        <v>98</v>
      </c>
      <c r="S174" s="2" t="s">
        <v>740</v>
      </c>
      <c r="T174" s="2" t="s">
        <v>98</v>
      </c>
      <c r="U174" s="2" t="s">
        <v>100</v>
      </c>
      <c r="V174" s="2" t="s">
        <v>701</v>
      </c>
      <c r="W174" s="2" t="s">
        <v>734</v>
      </c>
      <c r="X174" s="2" t="s">
        <v>372</v>
      </c>
      <c r="Y174" s="2" t="s">
        <v>737</v>
      </c>
      <c r="Z174" s="4">
        <v>1195</v>
      </c>
      <c r="AA174" s="4">
        <f>=ROUNDDOWN(66.3888888888889,0)</f>
      </c>
      <c r="AB174" s="5">
        <v>18</v>
      </c>
      <c r="AC174" s="2" t="s">
        <v>98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/>
      <c r="BK174" s="8"/>
      <c r="BL174" s="2" t="s">
        <v>98</v>
      </c>
      <c r="BM174" s="7"/>
      <c r="BN174" s="7"/>
      <c r="BO174" s="4"/>
      <c r="BP174" s="8"/>
      <c r="BQ174" s="4"/>
      <c r="BR174" s="8"/>
      <c r="BS174" s="7"/>
      <c r="BT174" s="7"/>
      <c r="BU174" s="2" t="s">
        <v>316</v>
      </c>
      <c r="BV174" s="2" t="s">
        <v>95</v>
      </c>
      <c r="BW174" s="2" t="s">
        <v>98</v>
      </c>
      <c r="BX174" s="2" t="s">
        <v>98</v>
      </c>
      <c r="BY174" s="2" t="s">
        <v>111</v>
      </c>
    </row>
    <row r="175">
      <c r="A175" s="2" t="s">
        <v>743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744</v>
      </c>
      <c r="G175" s="2" t="s">
        <v>745</v>
      </c>
      <c r="H175" s="2" t="s">
        <v>746</v>
      </c>
      <c r="I175" s="2" t="s">
        <v>747</v>
      </c>
      <c r="J175" s="2" t="s">
        <v>93</v>
      </c>
      <c r="K175" s="2" t="s">
        <v>748</v>
      </c>
      <c r="L175" s="3">
        <v>14</v>
      </c>
      <c r="M175" s="3">
        <v>14.63</v>
      </c>
      <c r="N175" s="3">
        <v>29.99</v>
      </c>
      <c r="O175" s="2" t="s">
        <v>241</v>
      </c>
      <c r="P175" s="2" t="s">
        <v>215</v>
      </c>
      <c r="Q175" s="2" t="s">
        <v>97</v>
      </c>
      <c r="R175" s="2" t="s">
        <v>98</v>
      </c>
      <c r="S175" s="2" t="s">
        <v>749</v>
      </c>
      <c r="T175" s="2" t="s">
        <v>98</v>
      </c>
      <c r="U175" s="2" t="s">
        <v>98</v>
      </c>
      <c r="V175" s="2" t="s">
        <v>101</v>
      </c>
      <c r="W175" s="2" t="s">
        <v>688</v>
      </c>
      <c r="X175" s="2" t="s">
        <v>98</v>
      </c>
      <c r="Y175" s="2" t="s">
        <v>104</v>
      </c>
      <c r="Z175" s="4"/>
      <c r="AA175" s="4">
        <f>=ROUNDDOWN({0},0)</f>
      </c>
      <c r="AB175" s="5"/>
      <c r="AC175" s="2" t="s">
        <v>98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7</v>
      </c>
      <c r="AQ175" s="8">
        <v>101.85</v>
      </c>
      <c r="AR175" s="4"/>
      <c r="AS175" s="8"/>
      <c r="AT175" s="7"/>
      <c r="AU175" s="7"/>
      <c r="AV175" s="4">
        <v>7</v>
      </c>
      <c r="AW175" s="8">
        <v>101.85</v>
      </c>
      <c r="AX175" s="4"/>
      <c r="AY175" s="8"/>
      <c r="AZ175" s="7"/>
      <c r="BA175" s="7"/>
      <c r="BB175" s="7">
        <v>1</v>
      </c>
      <c r="BC175" s="4">
        <v>7</v>
      </c>
      <c r="BD175" s="8">
        <v>101.85</v>
      </c>
      <c r="BE175" s="4">
        <v>32</v>
      </c>
      <c r="BF175" s="8">
        <v>440.8</v>
      </c>
      <c r="BG175" s="7">
        <v>-0.7812</v>
      </c>
      <c r="BH175" s="7">
        <v>-0.7689</v>
      </c>
      <c r="BI175" s="7">
        <v>1</v>
      </c>
      <c r="BJ175" s="4">
        <v>12</v>
      </c>
      <c r="BK175" s="8">
        <v>179.05</v>
      </c>
      <c r="BL175" s="2" t="s">
        <v>750</v>
      </c>
      <c r="BM175" s="7">
        <v>0.5833</v>
      </c>
      <c r="BN175" s="7">
        <v>0.5688</v>
      </c>
      <c r="BO175" s="4">
        <v>7</v>
      </c>
      <c r="BP175" s="8">
        <v>101.85</v>
      </c>
      <c r="BQ175" s="4"/>
      <c r="BR175" s="8"/>
      <c r="BS175" s="7"/>
      <c r="BT175" s="7"/>
      <c r="BU175" s="2" t="s">
        <v>211</v>
      </c>
      <c r="BV175" s="2" t="s">
        <v>352</v>
      </c>
      <c r="BW175" s="2" t="s">
        <v>109</v>
      </c>
      <c r="BX175" s="2" t="s">
        <v>184</v>
      </c>
      <c r="BY175" s="2" t="s">
        <v>354</v>
      </c>
    </row>
    <row r="176">
      <c r="A176" s="2" t="s">
        <v>751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744</v>
      </c>
      <c r="G176" s="2" t="s">
        <v>745</v>
      </c>
      <c r="H176" s="2" t="s">
        <v>746</v>
      </c>
      <c r="I176" s="2" t="s">
        <v>747</v>
      </c>
      <c r="J176" s="2" t="s">
        <v>331</v>
      </c>
      <c r="K176" s="2" t="s">
        <v>94</v>
      </c>
      <c r="L176" s="3">
        <v>13.5</v>
      </c>
      <c r="M176" s="3">
        <v>14.18</v>
      </c>
      <c r="N176" s="3">
        <v>29.99</v>
      </c>
      <c r="O176" s="2" t="s">
        <v>368</v>
      </c>
      <c r="P176" s="2" t="s">
        <v>215</v>
      </c>
      <c r="Q176" s="2" t="s">
        <v>97</v>
      </c>
      <c r="R176" s="2" t="s">
        <v>98</v>
      </c>
      <c r="S176" s="2" t="s">
        <v>752</v>
      </c>
      <c r="T176" s="2" t="s">
        <v>98</v>
      </c>
      <c r="U176" s="2" t="s">
        <v>98</v>
      </c>
      <c r="V176" s="2" t="s">
        <v>101</v>
      </c>
      <c r="W176" s="2" t="s">
        <v>688</v>
      </c>
      <c r="X176" s="2" t="s">
        <v>98</v>
      </c>
      <c r="Y176" s="2" t="s">
        <v>104</v>
      </c>
      <c r="Z176" s="4"/>
      <c r="AA176" s="4">
        <f>=ROUNDDOWN({0},0)</f>
      </c>
      <c r="AB176" s="5"/>
      <c r="AC176" s="2" t="s">
        <v>98</v>
      </c>
      <c r="AD176" s="4"/>
      <c r="AE176" s="4"/>
      <c r="AF176" s="6">
        <v>65</v>
      </c>
      <c r="AG176" s="6"/>
      <c r="AH176" s="7">
        <v>0.7444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>
        <v>16</v>
      </c>
      <c r="AS176" s="8">
        <v>208</v>
      </c>
      <c r="AT176" s="7">
        <v>-1</v>
      </c>
      <c r="AU176" s="7">
        <v>-1</v>
      </c>
      <c r="AV176" s="4" t="s">
        <v>98</v>
      </c>
      <c r="AW176" s="8" t="s">
        <v>98</v>
      </c>
      <c r="AX176" s="4">
        <v>32</v>
      </c>
      <c r="AY176" s="8">
        <v>440.8</v>
      </c>
      <c r="AZ176" s="7" t="s">
        <v>98</v>
      </c>
      <c r="BA176" s="7" t="s">
        <v>98</v>
      </c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/>
      <c r="BK176" s="8"/>
      <c r="BL176" s="2" t="s">
        <v>655</v>
      </c>
      <c r="BM176" s="7"/>
      <c r="BN176" s="7"/>
      <c r="BO176" s="4"/>
      <c r="BP176" s="8"/>
      <c r="BQ176" s="4">
        <v>16</v>
      </c>
      <c r="BR176" s="8">
        <v>208</v>
      </c>
      <c r="BS176" s="7">
        <v>-1</v>
      </c>
      <c r="BT176" s="7">
        <v>-1</v>
      </c>
      <c r="BU176" s="2" t="s">
        <v>211</v>
      </c>
      <c r="BV176" s="2" t="s">
        <v>352</v>
      </c>
      <c r="BW176" s="2" t="s">
        <v>109</v>
      </c>
      <c r="BX176" s="2" t="s">
        <v>184</v>
      </c>
      <c r="BY176" s="2" t="s">
        <v>111</v>
      </c>
    </row>
    <row r="177">
      <c r="A177" s="2" t="s">
        <v>753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744</v>
      </c>
      <c r="G177" s="2" t="s">
        <v>745</v>
      </c>
      <c r="H177" s="2" t="s">
        <v>746</v>
      </c>
      <c r="I177" s="2" t="s">
        <v>747</v>
      </c>
      <c r="J177" s="2" t="s">
        <v>93</v>
      </c>
      <c r="K177" s="2" t="s">
        <v>94</v>
      </c>
      <c r="L177" s="3">
        <v>15.4</v>
      </c>
      <c r="M177" s="3">
        <v>16.17</v>
      </c>
      <c r="N177" s="3">
        <v>34.99</v>
      </c>
      <c r="O177" s="2" t="s">
        <v>368</v>
      </c>
      <c r="P177" s="2" t="s">
        <v>215</v>
      </c>
      <c r="Q177" s="2" t="s">
        <v>97</v>
      </c>
      <c r="R177" s="2" t="s">
        <v>98</v>
      </c>
      <c r="S177" s="2" t="s">
        <v>752</v>
      </c>
      <c r="T177" s="2" t="s">
        <v>98</v>
      </c>
      <c r="U177" s="2" t="s">
        <v>98</v>
      </c>
      <c r="V177" s="2" t="s">
        <v>101</v>
      </c>
      <c r="W177" s="2" t="s">
        <v>688</v>
      </c>
      <c r="X177" s="2" t="s">
        <v>98</v>
      </c>
      <c r="Y177" s="2" t="s">
        <v>104</v>
      </c>
      <c r="Z177" s="4"/>
      <c r="AA177" s="4">
        <f>=ROUNDDOWN({0},0)</f>
      </c>
      <c r="AB177" s="5"/>
      <c r="AC177" s="2" t="s">
        <v>98</v>
      </c>
      <c r="AD177" s="4"/>
      <c r="AE177" s="4"/>
      <c r="AF177" s="6"/>
      <c r="AG177" s="6"/>
      <c r="AH177" s="7">
        <v>0.3667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>
        <v>16</v>
      </c>
      <c r="AS177" s="8">
        <v>232.8</v>
      </c>
      <c r="AT177" s="7">
        <v>-1</v>
      </c>
      <c r="AU177" s="7">
        <v>-1</v>
      </c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/>
      <c r="BK177" s="8"/>
      <c r="BL177" s="2" t="s">
        <v>754</v>
      </c>
      <c r="BM177" s="7"/>
      <c r="BN177" s="7"/>
      <c r="BO177" s="4"/>
      <c r="BP177" s="8"/>
      <c r="BQ177" s="4">
        <v>16</v>
      </c>
      <c r="BR177" s="8">
        <v>232.8</v>
      </c>
      <c r="BS177" s="7">
        <v>-1</v>
      </c>
      <c r="BT177" s="7">
        <v>-1</v>
      </c>
      <c r="BU177" s="2" t="s">
        <v>211</v>
      </c>
      <c r="BV177" s="2" t="s">
        <v>352</v>
      </c>
      <c r="BW177" s="2" t="s">
        <v>109</v>
      </c>
      <c r="BX177" s="2" t="s">
        <v>228</v>
      </c>
      <c r="BY177" s="2" t="s">
        <v>111</v>
      </c>
    </row>
    <row r="178">
      <c r="A178" s="2" t="s">
        <v>755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756</v>
      </c>
      <c r="G178" s="2" t="s">
        <v>757</v>
      </c>
      <c r="H178" s="2" t="s">
        <v>758</v>
      </c>
      <c r="I178" s="2" t="s">
        <v>759</v>
      </c>
      <c r="J178" s="2" t="s">
        <v>331</v>
      </c>
      <c r="K178" s="2" t="s">
        <v>760</v>
      </c>
      <c r="L178" s="3">
        <v>11.89</v>
      </c>
      <c r="M178" s="3">
        <v>12.48</v>
      </c>
      <c r="N178" s="3">
        <v>28.99</v>
      </c>
      <c r="O178" s="2" t="s">
        <v>368</v>
      </c>
      <c r="P178" s="2" t="s">
        <v>215</v>
      </c>
      <c r="Q178" s="2" t="s">
        <v>97</v>
      </c>
      <c r="R178" s="2" t="s">
        <v>98</v>
      </c>
      <c r="S178" s="2" t="s">
        <v>761</v>
      </c>
      <c r="T178" s="2" t="s">
        <v>98</v>
      </c>
      <c r="U178" s="2" t="s">
        <v>98</v>
      </c>
      <c r="V178" s="2" t="s">
        <v>762</v>
      </c>
      <c r="W178" s="2" t="s">
        <v>335</v>
      </c>
      <c r="X178" s="2" t="s">
        <v>98</v>
      </c>
      <c r="Y178" s="2" t="s">
        <v>104</v>
      </c>
      <c r="Z178" s="4"/>
      <c r="AA178" s="4">
        <f>=ROUNDDOWN({0},0)</f>
      </c>
      <c r="AB178" s="5">
        <v>0.5</v>
      </c>
      <c r="AC178" s="2" t="s">
        <v>98</v>
      </c>
      <c r="AD178" s="4"/>
      <c r="AE178" s="4"/>
      <c r="AF178" s="6">
        <v>65</v>
      </c>
      <c r="AG178" s="6"/>
      <c r="AH178" s="7">
        <v>0.9556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37</v>
      </c>
      <c r="AS178" s="8">
        <v>394.79</v>
      </c>
      <c r="AT178" s="7">
        <v>-1</v>
      </c>
      <c r="AU178" s="7">
        <v>-1</v>
      </c>
      <c r="AV178" s="4" t="s">
        <v>98</v>
      </c>
      <c r="AW178" s="8" t="s">
        <v>98</v>
      </c>
      <c r="AX178" s="4">
        <v>46</v>
      </c>
      <c r="AY178" s="8">
        <v>510.89</v>
      </c>
      <c r="AZ178" s="7" t="s">
        <v>98</v>
      </c>
      <c r="BA178" s="7" t="s">
        <v>98</v>
      </c>
      <c r="BB178" s="7"/>
      <c r="BC178" s="4" t="s">
        <v>98</v>
      </c>
      <c r="BD178" s="8" t="s">
        <v>98</v>
      </c>
      <c r="BE178" s="4">
        <v>65</v>
      </c>
      <c r="BF178" s="8">
        <v>713.62</v>
      </c>
      <c r="BG178" s="7" t="s">
        <v>98</v>
      </c>
      <c r="BH178" s="7" t="s">
        <v>98</v>
      </c>
      <c r="BI178" s="7"/>
      <c r="BJ178" s="4">
        <v>104</v>
      </c>
      <c r="BK178" s="8">
        <v>1181.16</v>
      </c>
      <c r="BL178" s="2" t="s">
        <v>398</v>
      </c>
      <c r="BM178" s="7"/>
      <c r="BN178" s="7"/>
      <c r="BO178" s="4"/>
      <c r="BP178" s="8"/>
      <c r="BQ178" s="4">
        <v>37</v>
      </c>
      <c r="BR178" s="8">
        <v>394.79</v>
      </c>
      <c r="BS178" s="7">
        <v>-1</v>
      </c>
      <c r="BT178" s="7">
        <v>-1</v>
      </c>
      <c r="BU178" s="2" t="s">
        <v>211</v>
      </c>
      <c r="BV178" s="2" t="s">
        <v>352</v>
      </c>
      <c r="BW178" s="2" t="s">
        <v>524</v>
      </c>
      <c r="BX178" s="2" t="s">
        <v>763</v>
      </c>
      <c r="BY178" s="2" t="s">
        <v>354</v>
      </c>
    </row>
    <row r="179">
      <c r="A179" s="2" t="s">
        <v>764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756</v>
      </c>
      <c r="G179" s="2" t="s">
        <v>757</v>
      </c>
      <c r="H179" s="2" t="s">
        <v>758</v>
      </c>
      <c r="I179" s="2" t="s">
        <v>759</v>
      </c>
      <c r="J179" s="2" t="s">
        <v>93</v>
      </c>
      <c r="K179" s="2" t="s">
        <v>760</v>
      </c>
      <c r="L179" s="3">
        <v>14.19</v>
      </c>
      <c r="M179" s="3">
        <v>14.9</v>
      </c>
      <c r="N179" s="3">
        <v>32.99</v>
      </c>
      <c r="O179" s="2" t="s">
        <v>368</v>
      </c>
      <c r="P179" s="2" t="s">
        <v>215</v>
      </c>
      <c r="Q179" s="2" t="s">
        <v>97</v>
      </c>
      <c r="R179" s="2" t="s">
        <v>98</v>
      </c>
      <c r="S179" s="2" t="s">
        <v>761</v>
      </c>
      <c r="T179" s="2" t="s">
        <v>98</v>
      </c>
      <c r="U179" s="2" t="s">
        <v>98</v>
      </c>
      <c r="V179" s="2" t="s">
        <v>334</v>
      </c>
      <c r="W179" s="2" t="s">
        <v>335</v>
      </c>
      <c r="X179" s="2" t="s">
        <v>98</v>
      </c>
      <c r="Y179" s="2" t="s">
        <v>104</v>
      </c>
      <c r="Z179" s="4"/>
      <c r="AA179" s="4">
        <f>=ROUNDDOWN({0},0)</f>
      </c>
      <c r="AB179" s="5"/>
      <c r="AC179" s="2" t="s">
        <v>98</v>
      </c>
      <c r="AD179" s="4"/>
      <c r="AE179" s="4"/>
      <c r="AF179" s="6">
        <v>65</v>
      </c>
      <c r="AG179" s="6"/>
      <c r="AH179" s="7">
        <v>0.4222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9</v>
      </c>
      <c r="AS179" s="8">
        <v>116.1</v>
      </c>
      <c r="AT179" s="7">
        <v>-1</v>
      </c>
      <c r="AU179" s="7">
        <v>-1</v>
      </c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/>
      <c r="BK179" s="8"/>
      <c r="BL179" s="2" t="s">
        <v>765</v>
      </c>
      <c r="BM179" s="7"/>
      <c r="BN179" s="7"/>
      <c r="BO179" s="4"/>
      <c r="BP179" s="8"/>
      <c r="BQ179" s="4">
        <v>9</v>
      </c>
      <c r="BR179" s="8">
        <v>116.1</v>
      </c>
      <c r="BS179" s="7">
        <v>-1</v>
      </c>
      <c r="BT179" s="7">
        <v>-1</v>
      </c>
      <c r="BU179" s="2" t="s">
        <v>211</v>
      </c>
      <c r="BV179" s="2" t="s">
        <v>352</v>
      </c>
      <c r="BW179" s="2" t="s">
        <v>524</v>
      </c>
      <c r="BX179" s="2" t="s">
        <v>766</v>
      </c>
      <c r="BY179" s="2" t="s">
        <v>111</v>
      </c>
    </row>
    <row r="180">
      <c r="A180" s="2" t="s">
        <v>767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756</v>
      </c>
      <c r="G180" s="2" t="s">
        <v>757</v>
      </c>
      <c r="H180" s="2" t="s">
        <v>758</v>
      </c>
      <c r="I180" s="2" t="s">
        <v>759</v>
      </c>
      <c r="J180" s="2" t="s">
        <v>331</v>
      </c>
      <c r="K180" s="2" t="s">
        <v>768</v>
      </c>
      <c r="L180" s="3">
        <v>11.89</v>
      </c>
      <c r="M180" s="3">
        <v>12.48</v>
      </c>
      <c r="N180" s="3">
        <v>28.99</v>
      </c>
      <c r="O180" s="2" t="s">
        <v>368</v>
      </c>
      <c r="P180" s="2" t="s">
        <v>215</v>
      </c>
      <c r="Q180" s="2" t="s">
        <v>97</v>
      </c>
      <c r="R180" s="2" t="s">
        <v>98</v>
      </c>
      <c r="S180" s="2" t="s">
        <v>769</v>
      </c>
      <c r="T180" s="2" t="s">
        <v>98</v>
      </c>
      <c r="U180" s="2" t="s">
        <v>98</v>
      </c>
      <c r="V180" s="2" t="s">
        <v>762</v>
      </c>
      <c r="W180" s="2" t="s">
        <v>335</v>
      </c>
      <c r="X180" s="2" t="s">
        <v>98</v>
      </c>
      <c r="Y180" s="2" t="s">
        <v>104</v>
      </c>
      <c r="Z180" s="4"/>
      <c r="AA180" s="4">
        <f>=ROUNDDOWN({0},0)</f>
      </c>
      <c r="AB180" s="5">
        <v>1</v>
      </c>
      <c r="AC180" s="2" t="s">
        <v>98</v>
      </c>
      <c r="AD180" s="4"/>
      <c r="AE180" s="4"/>
      <c r="AF180" s="6"/>
      <c r="AG180" s="6"/>
      <c r="AH180" s="7">
        <v>0.4222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19</v>
      </c>
      <c r="AS180" s="8">
        <v>202.73</v>
      </c>
      <c r="AT180" s="7">
        <v>-1</v>
      </c>
      <c r="AU180" s="7">
        <v>-1</v>
      </c>
      <c r="AV180" s="4"/>
      <c r="AW180" s="8"/>
      <c r="AX180" s="4">
        <v>19</v>
      </c>
      <c r="AY180" s="8">
        <v>202.73</v>
      </c>
      <c r="AZ180" s="7">
        <v>-1</v>
      </c>
      <c r="BA180" s="7">
        <v>-1</v>
      </c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/>
      <c r="BJ180" s="4"/>
      <c r="BK180" s="8"/>
      <c r="BL180" s="2" t="s">
        <v>417</v>
      </c>
      <c r="BM180" s="7"/>
      <c r="BN180" s="7"/>
      <c r="BO180" s="4"/>
      <c r="BP180" s="8"/>
      <c r="BQ180" s="4">
        <v>19</v>
      </c>
      <c r="BR180" s="8">
        <v>202.73</v>
      </c>
      <c r="BS180" s="7">
        <v>-1</v>
      </c>
      <c r="BT180" s="7">
        <v>-1</v>
      </c>
      <c r="BU180" s="2" t="s">
        <v>211</v>
      </c>
      <c r="BV180" s="2" t="s">
        <v>352</v>
      </c>
      <c r="BW180" s="2" t="s">
        <v>524</v>
      </c>
      <c r="BX180" s="2" t="s">
        <v>770</v>
      </c>
      <c r="BY180" s="2" t="s">
        <v>111</v>
      </c>
    </row>
    <row r="181">
      <c r="A181" s="2" t="s">
        <v>771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772</v>
      </c>
      <c r="G181" s="2" t="s">
        <v>773</v>
      </c>
      <c r="H181" s="2" t="s">
        <v>774</v>
      </c>
      <c r="I181" s="2" t="s">
        <v>775</v>
      </c>
      <c r="J181" s="2" t="s">
        <v>93</v>
      </c>
      <c r="K181" s="2" t="s">
        <v>458</v>
      </c>
      <c r="L181" s="3">
        <v>16.8</v>
      </c>
      <c r="M181" s="3">
        <v>17.64</v>
      </c>
      <c r="N181" s="3">
        <v>34.99</v>
      </c>
      <c r="O181" s="2" t="s">
        <v>368</v>
      </c>
      <c r="P181" s="2" t="s">
        <v>215</v>
      </c>
      <c r="Q181" s="2" t="s">
        <v>97</v>
      </c>
      <c r="R181" s="2" t="s">
        <v>98</v>
      </c>
      <c r="S181" s="2" t="s">
        <v>776</v>
      </c>
      <c r="T181" s="2" t="s">
        <v>98</v>
      </c>
      <c r="U181" s="2" t="s">
        <v>100</v>
      </c>
      <c r="V181" s="2" t="s">
        <v>101</v>
      </c>
      <c r="W181" s="2" t="s">
        <v>335</v>
      </c>
      <c r="X181" s="2" t="s">
        <v>98</v>
      </c>
      <c r="Y181" s="2" t="s">
        <v>777</v>
      </c>
      <c r="Z181" s="4"/>
      <c r="AA181" s="4">
        <f>=ROUNDDOWN({0},0)</f>
      </c>
      <c r="AB181" s="5"/>
      <c r="AC181" s="2" t="s">
        <v>98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2</v>
      </c>
      <c r="AS181" s="8">
        <v>34.3</v>
      </c>
      <c r="AT181" s="7">
        <v>-1</v>
      </c>
      <c r="AU181" s="7">
        <v>-1</v>
      </c>
      <c r="AV181" s="4" t="s">
        <v>98</v>
      </c>
      <c r="AW181" s="8" t="s">
        <v>98</v>
      </c>
      <c r="AX181" s="4">
        <v>12</v>
      </c>
      <c r="AY181" s="8">
        <v>218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>
        <v>95</v>
      </c>
      <c r="BF181" s="8">
        <v>1689.03</v>
      </c>
      <c r="BG181" s="7" t="s">
        <v>98</v>
      </c>
      <c r="BH181" s="7" t="s">
        <v>98</v>
      </c>
      <c r="BI181" s="7"/>
      <c r="BJ181" s="4"/>
      <c r="BK181" s="8"/>
      <c r="BL181" s="2" t="s">
        <v>588</v>
      </c>
      <c r="BM181" s="7"/>
      <c r="BN181" s="7"/>
      <c r="BO181" s="4"/>
      <c r="BP181" s="8"/>
      <c r="BQ181" s="4">
        <v>2</v>
      </c>
      <c r="BR181" s="8">
        <v>34.3</v>
      </c>
      <c r="BS181" s="7">
        <v>-1</v>
      </c>
      <c r="BT181" s="7">
        <v>-1</v>
      </c>
      <c r="BU181" s="2" t="s">
        <v>211</v>
      </c>
      <c r="BV181" s="2" t="s">
        <v>352</v>
      </c>
      <c r="BW181" s="2" t="s">
        <v>570</v>
      </c>
      <c r="BX181" s="2" t="s">
        <v>778</v>
      </c>
      <c r="BY181" s="2" t="s">
        <v>111</v>
      </c>
    </row>
    <row r="182">
      <c r="A182" s="2" t="s">
        <v>779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772</v>
      </c>
      <c r="G182" s="2" t="s">
        <v>773</v>
      </c>
      <c r="H182" s="2" t="s">
        <v>774</v>
      </c>
      <c r="I182" s="2" t="s">
        <v>775</v>
      </c>
      <c r="J182" s="2" t="s">
        <v>113</v>
      </c>
      <c r="K182" s="2" t="s">
        <v>458</v>
      </c>
      <c r="L182" s="3">
        <v>18</v>
      </c>
      <c r="M182" s="3">
        <v>18.9</v>
      </c>
      <c r="N182" s="3">
        <v>39.99</v>
      </c>
      <c r="O182" s="2" t="s">
        <v>368</v>
      </c>
      <c r="P182" s="2" t="s">
        <v>215</v>
      </c>
      <c r="Q182" s="2" t="s">
        <v>97</v>
      </c>
      <c r="R182" s="2" t="s">
        <v>98</v>
      </c>
      <c r="S182" s="2" t="s">
        <v>776</v>
      </c>
      <c r="T182" s="2" t="s">
        <v>98</v>
      </c>
      <c r="U182" s="2" t="s">
        <v>100</v>
      </c>
      <c r="V182" s="2" t="s">
        <v>101</v>
      </c>
      <c r="W182" s="2" t="s">
        <v>335</v>
      </c>
      <c r="X182" s="2" t="s">
        <v>98</v>
      </c>
      <c r="Y182" s="2" t="s">
        <v>777</v>
      </c>
      <c r="Z182" s="4"/>
      <c r="AA182" s="4">
        <f>=ROUNDDOWN({0},0)</f>
      </c>
      <c r="AB182" s="5"/>
      <c r="AC182" s="2" t="s">
        <v>98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>
        <v>10</v>
      </c>
      <c r="AS182" s="8">
        <v>183.7</v>
      </c>
      <c r="AT182" s="7">
        <v>-1</v>
      </c>
      <c r="AU182" s="7">
        <v>-1</v>
      </c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588</v>
      </c>
      <c r="BM182" s="7"/>
      <c r="BN182" s="7"/>
      <c r="BO182" s="4"/>
      <c r="BP182" s="8"/>
      <c r="BQ182" s="4">
        <v>10</v>
      </c>
      <c r="BR182" s="8">
        <v>183.7</v>
      </c>
      <c r="BS182" s="7">
        <v>-1</v>
      </c>
      <c r="BT182" s="7">
        <v>-1</v>
      </c>
      <c r="BU182" s="2" t="s">
        <v>211</v>
      </c>
      <c r="BV182" s="2" t="s">
        <v>352</v>
      </c>
      <c r="BW182" s="2" t="s">
        <v>570</v>
      </c>
      <c r="BX182" s="2" t="s">
        <v>780</v>
      </c>
      <c r="BY182" s="2" t="s">
        <v>111</v>
      </c>
    </row>
    <row r="183">
      <c r="A183" s="2" t="s">
        <v>781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772</v>
      </c>
      <c r="G183" s="2" t="s">
        <v>773</v>
      </c>
      <c r="H183" s="2" t="s">
        <v>774</v>
      </c>
      <c r="I183" s="2" t="s">
        <v>775</v>
      </c>
      <c r="J183" s="2" t="s">
        <v>93</v>
      </c>
      <c r="K183" s="2" t="s">
        <v>276</v>
      </c>
      <c r="L183" s="3">
        <v>18.4</v>
      </c>
      <c r="M183" s="3">
        <v>19.32</v>
      </c>
      <c r="N183" s="3">
        <v>39.99</v>
      </c>
      <c r="O183" s="2" t="s">
        <v>368</v>
      </c>
      <c r="P183" s="2" t="s">
        <v>215</v>
      </c>
      <c r="Q183" s="2" t="s">
        <v>97</v>
      </c>
      <c r="R183" s="2" t="s">
        <v>98</v>
      </c>
      <c r="S183" s="2" t="s">
        <v>782</v>
      </c>
      <c r="T183" s="2" t="s">
        <v>98</v>
      </c>
      <c r="U183" s="2" t="s">
        <v>100</v>
      </c>
      <c r="V183" s="2" t="s">
        <v>101</v>
      </c>
      <c r="W183" s="2" t="s">
        <v>335</v>
      </c>
      <c r="X183" s="2" t="s">
        <v>98</v>
      </c>
      <c r="Y183" s="2" t="s">
        <v>777</v>
      </c>
      <c r="Z183" s="4"/>
      <c r="AA183" s="4">
        <f>=ROUNDDOWN({0},0)</f>
      </c>
      <c r="AB183" s="5"/>
      <c r="AC183" s="2" t="s">
        <v>98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>
        <v>36</v>
      </c>
      <c r="AS183" s="8">
        <v>617.4</v>
      </c>
      <c r="AT183" s="7">
        <v>-1</v>
      </c>
      <c r="AU183" s="7">
        <v>-1</v>
      </c>
      <c r="AV183" s="4" t="s">
        <v>98</v>
      </c>
      <c r="AW183" s="8" t="s">
        <v>98</v>
      </c>
      <c r="AX183" s="4">
        <v>50</v>
      </c>
      <c r="AY183" s="8">
        <v>874.58</v>
      </c>
      <c r="AZ183" s="7" t="s">
        <v>98</v>
      </c>
      <c r="BA183" s="7" t="s">
        <v>98</v>
      </c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673</v>
      </c>
      <c r="BM183" s="7"/>
      <c r="BN183" s="7"/>
      <c r="BO183" s="4"/>
      <c r="BP183" s="8"/>
      <c r="BQ183" s="4">
        <v>36</v>
      </c>
      <c r="BR183" s="8">
        <v>617.4</v>
      </c>
      <c r="BS183" s="7">
        <v>-1</v>
      </c>
      <c r="BT183" s="7">
        <v>-1</v>
      </c>
      <c r="BU183" s="2" t="s">
        <v>211</v>
      </c>
      <c r="BV183" s="2" t="s">
        <v>352</v>
      </c>
      <c r="BW183" s="2" t="s">
        <v>570</v>
      </c>
      <c r="BX183" s="2" t="s">
        <v>783</v>
      </c>
      <c r="BY183" s="2" t="s">
        <v>111</v>
      </c>
    </row>
    <row r="184">
      <c r="A184" s="2" t="s">
        <v>784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772</v>
      </c>
      <c r="G184" s="2" t="s">
        <v>773</v>
      </c>
      <c r="H184" s="2" t="s">
        <v>774</v>
      </c>
      <c r="I184" s="2" t="s">
        <v>775</v>
      </c>
      <c r="J184" s="2" t="s">
        <v>113</v>
      </c>
      <c r="K184" s="2" t="s">
        <v>276</v>
      </c>
      <c r="L184" s="3">
        <v>20.25</v>
      </c>
      <c r="M184" s="3">
        <v>21.26</v>
      </c>
      <c r="N184" s="3">
        <v>44.99</v>
      </c>
      <c r="O184" s="2" t="s">
        <v>368</v>
      </c>
      <c r="P184" s="2" t="s">
        <v>215</v>
      </c>
      <c r="Q184" s="2" t="s">
        <v>97</v>
      </c>
      <c r="R184" s="2" t="s">
        <v>98</v>
      </c>
      <c r="S184" s="2" t="s">
        <v>782</v>
      </c>
      <c r="T184" s="2" t="s">
        <v>98</v>
      </c>
      <c r="U184" s="2" t="s">
        <v>100</v>
      </c>
      <c r="V184" s="2" t="s">
        <v>101</v>
      </c>
      <c r="W184" s="2" t="s">
        <v>335</v>
      </c>
      <c r="X184" s="2" t="s">
        <v>98</v>
      </c>
      <c r="Y184" s="2" t="s">
        <v>777</v>
      </c>
      <c r="Z184" s="4"/>
      <c r="AA184" s="4">
        <f>=ROUNDDOWN({0},0)</f>
      </c>
      <c r="AB184" s="5">
        <v>1.5</v>
      </c>
      <c r="AC184" s="2" t="s">
        <v>98</v>
      </c>
      <c r="AD184" s="4"/>
      <c r="AE184" s="4"/>
      <c r="AF184" s="6"/>
      <c r="AG184" s="6"/>
      <c r="AH184" s="7">
        <v>0.1444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14</v>
      </c>
      <c r="AS184" s="8">
        <v>257.18</v>
      </c>
      <c r="AT184" s="7">
        <v>-1</v>
      </c>
      <c r="AU184" s="7">
        <v>-1</v>
      </c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6</v>
      </c>
      <c r="BK184" s="8">
        <v>86.06</v>
      </c>
      <c r="BL184" s="2" t="s">
        <v>785</v>
      </c>
      <c r="BM184" s="7"/>
      <c r="BN184" s="7"/>
      <c r="BO184" s="4"/>
      <c r="BP184" s="8"/>
      <c r="BQ184" s="4">
        <v>14</v>
      </c>
      <c r="BR184" s="8">
        <v>257.18</v>
      </c>
      <c r="BS184" s="7">
        <v>-1</v>
      </c>
      <c r="BT184" s="7">
        <v>-1</v>
      </c>
      <c r="BU184" s="2" t="s">
        <v>211</v>
      </c>
      <c r="BV184" s="2" t="s">
        <v>352</v>
      </c>
      <c r="BW184" s="2" t="s">
        <v>570</v>
      </c>
      <c r="BX184" s="2" t="s">
        <v>786</v>
      </c>
      <c r="BY184" s="2" t="s">
        <v>111</v>
      </c>
    </row>
    <row r="185">
      <c r="A185" s="2" t="s">
        <v>787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772</v>
      </c>
      <c r="G185" s="2" t="s">
        <v>773</v>
      </c>
      <c r="H185" s="2" t="s">
        <v>774</v>
      </c>
      <c r="I185" s="2" t="s">
        <v>775</v>
      </c>
      <c r="J185" s="2" t="s">
        <v>93</v>
      </c>
      <c r="K185" s="2" t="s">
        <v>94</v>
      </c>
      <c r="L185" s="3">
        <v>18.4</v>
      </c>
      <c r="M185" s="3">
        <v>19.32</v>
      </c>
      <c r="N185" s="3">
        <v>39.99</v>
      </c>
      <c r="O185" s="2" t="s">
        <v>368</v>
      </c>
      <c r="P185" s="2" t="s">
        <v>215</v>
      </c>
      <c r="Q185" s="2" t="s">
        <v>97</v>
      </c>
      <c r="R185" s="2" t="s">
        <v>98</v>
      </c>
      <c r="S185" s="2" t="s">
        <v>788</v>
      </c>
      <c r="T185" s="2" t="s">
        <v>98</v>
      </c>
      <c r="U185" s="2" t="s">
        <v>100</v>
      </c>
      <c r="V185" s="2" t="s">
        <v>101</v>
      </c>
      <c r="W185" s="2" t="s">
        <v>335</v>
      </c>
      <c r="X185" s="2" t="s">
        <v>98</v>
      </c>
      <c r="Y185" s="2" t="s">
        <v>777</v>
      </c>
      <c r="Z185" s="4"/>
      <c r="AA185" s="4">
        <f>=ROUNDDOWN({0},0)</f>
      </c>
      <c r="AB185" s="5">
        <v>0.7</v>
      </c>
      <c r="AC185" s="2" t="s">
        <v>98</v>
      </c>
      <c r="AD185" s="4"/>
      <c r="AE185" s="4"/>
      <c r="AF185" s="6">
        <v>65</v>
      </c>
      <c r="AG185" s="6"/>
      <c r="AH185" s="7">
        <v>0.3333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8</v>
      </c>
      <c r="AS185" s="8">
        <v>137.2</v>
      </c>
      <c r="AT185" s="7">
        <v>-1</v>
      </c>
      <c r="AU185" s="7">
        <v>-1</v>
      </c>
      <c r="AV185" s="4" t="s">
        <v>98</v>
      </c>
      <c r="AW185" s="8" t="s">
        <v>98</v>
      </c>
      <c r="AX185" s="4">
        <v>33</v>
      </c>
      <c r="AY185" s="8">
        <v>596.45</v>
      </c>
      <c r="AZ185" s="7" t="s">
        <v>98</v>
      </c>
      <c r="BA185" s="7" t="s">
        <v>98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3</v>
      </c>
      <c r="BK185" s="8">
        <v>49.63</v>
      </c>
      <c r="BL185" s="2" t="s">
        <v>588</v>
      </c>
      <c r="BM185" s="7"/>
      <c r="BN185" s="7"/>
      <c r="BO185" s="4"/>
      <c r="BP185" s="8"/>
      <c r="BQ185" s="4">
        <v>8</v>
      </c>
      <c r="BR185" s="8">
        <v>137.2</v>
      </c>
      <c r="BS185" s="7">
        <v>-1</v>
      </c>
      <c r="BT185" s="7">
        <v>-1</v>
      </c>
      <c r="BU185" s="2" t="s">
        <v>211</v>
      </c>
      <c r="BV185" s="2" t="s">
        <v>352</v>
      </c>
      <c r="BW185" s="2" t="s">
        <v>570</v>
      </c>
      <c r="BX185" s="2" t="s">
        <v>789</v>
      </c>
      <c r="BY185" s="2" t="s">
        <v>111</v>
      </c>
    </row>
    <row r="186">
      <c r="A186" s="2" t="s">
        <v>790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772</v>
      </c>
      <c r="G186" s="2" t="s">
        <v>773</v>
      </c>
      <c r="H186" s="2" t="s">
        <v>774</v>
      </c>
      <c r="I186" s="2" t="s">
        <v>775</v>
      </c>
      <c r="J186" s="2" t="s">
        <v>113</v>
      </c>
      <c r="K186" s="2" t="s">
        <v>94</v>
      </c>
      <c r="L186" s="3">
        <v>20.25</v>
      </c>
      <c r="M186" s="3">
        <v>21.26</v>
      </c>
      <c r="N186" s="3">
        <v>44.99</v>
      </c>
      <c r="O186" s="2" t="s">
        <v>368</v>
      </c>
      <c r="P186" s="2" t="s">
        <v>215</v>
      </c>
      <c r="Q186" s="2" t="s">
        <v>97</v>
      </c>
      <c r="R186" s="2" t="s">
        <v>98</v>
      </c>
      <c r="S186" s="2" t="s">
        <v>788</v>
      </c>
      <c r="T186" s="2" t="s">
        <v>98</v>
      </c>
      <c r="U186" s="2" t="s">
        <v>100</v>
      </c>
      <c r="V186" s="2" t="s">
        <v>101</v>
      </c>
      <c r="W186" s="2" t="s">
        <v>335</v>
      </c>
      <c r="X186" s="2" t="s">
        <v>98</v>
      </c>
      <c r="Y186" s="2" t="s">
        <v>777</v>
      </c>
      <c r="Z186" s="4"/>
      <c r="AA186" s="4">
        <f>=ROUNDDOWN({0},0)</f>
      </c>
      <c r="AB186" s="5"/>
      <c r="AC186" s="2" t="s">
        <v>98</v>
      </c>
      <c r="AD186" s="4"/>
      <c r="AE186" s="4"/>
      <c r="AF186" s="6"/>
      <c r="AG186" s="6"/>
      <c r="AH186" s="7">
        <v>0.8222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25</v>
      </c>
      <c r="AS186" s="8">
        <v>459.25</v>
      </c>
      <c r="AT186" s="7">
        <v>-1</v>
      </c>
      <c r="AU186" s="7">
        <v>-1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/>
      <c r="BJ186" s="4"/>
      <c r="BK186" s="8"/>
      <c r="BL186" s="2" t="s">
        <v>673</v>
      </c>
      <c r="BM186" s="7"/>
      <c r="BN186" s="7"/>
      <c r="BO186" s="4"/>
      <c r="BP186" s="8"/>
      <c r="BQ186" s="4">
        <v>25</v>
      </c>
      <c r="BR186" s="8">
        <v>459.25</v>
      </c>
      <c r="BS186" s="7">
        <v>-1</v>
      </c>
      <c r="BT186" s="7">
        <v>-1</v>
      </c>
      <c r="BU186" s="2" t="s">
        <v>211</v>
      </c>
      <c r="BV186" s="2" t="s">
        <v>352</v>
      </c>
      <c r="BW186" s="2" t="s">
        <v>570</v>
      </c>
      <c r="BX186" s="2" t="s">
        <v>791</v>
      </c>
      <c r="BY186" s="2" t="s">
        <v>111</v>
      </c>
    </row>
    <row r="187">
      <c r="A187" s="2" t="s">
        <v>792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793</v>
      </c>
      <c r="G187" s="2" t="s">
        <v>794</v>
      </c>
      <c r="H187" s="2" t="s">
        <v>795</v>
      </c>
      <c r="I187" s="2" t="s">
        <v>796</v>
      </c>
      <c r="J187" s="2" t="s">
        <v>93</v>
      </c>
      <c r="K187" s="2" t="s">
        <v>312</v>
      </c>
      <c r="L187" s="3">
        <v>17.39</v>
      </c>
      <c r="M187" s="3">
        <v>18.26</v>
      </c>
      <c r="N187" s="3">
        <v>36.99</v>
      </c>
      <c r="O187" s="2" t="s">
        <v>368</v>
      </c>
      <c r="P187" s="2" t="s">
        <v>465</v>
      </c>
      <c r="Q187" s="2" t="s">
        <v>97</v>
      </c>
      <c r="R187" s="2" t="s">
        <v>98</v>
      </c>
      <c r="S187" s="2" t="s">
        <v>797</v>
      </c>
      <c r="T187" s="2" t="s">
        <v>98</v>
      </c>
      <c r="U187" s="2" t="s">
        <v>100</v>
      </c>
      <c r="V187" s="2" t="s">
        <v>798</v>
      </c>
      <c r="W187" s="2" t="s">
        <v>649</v>
      </c>
      <c r="X187" s="2" t="s">
        <v>98</v>
      </c>
      <c r="Y187" s="2" t="s">
        <v>799</v>
      </c>
      <c r="Z187" s="4"/>
      <c r="AA187" s="4">
        <f>=ROUNDDOWN({0},0)</f>
      </c>
      <c r="AB187" s="5"/>
      <c r="AC187" s="2" t="s">
        <v>98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71</v>
      </c>
      <c r="AS187" s="8">
        <v>1200.61</v>
      </c>
      <c r="AT187" s="7">
        <v>-1</v>
      </c>
      <c r="AU187" s="7">
        <v>-1</v>
      </c>
      <c r="AV187" s="4"/>
      <c r="AW187" s="8"/>
      <c r="AX187" s="4">
        <v>71</v>
      </c>
      <c r="AY187" s="8">
        <v>1200.61</v>
      </c>
      <c r="AZ187" s="7">
        <v>-1</v>
      </c>
      <c r="BA187" s="7">
        <v>-1</v>
      </c>
      <c r="BB187" s="7"/>
      <c r="BC187" s="4" t="s">
        <v>98</v>
      </c>
      <c r="BD187" s="8" t="s">
        <v>98</v>
      </c>
      <c r="BE187" s="4">
        <v>132</v>
      </c>
      <c r="BF187" s="8">
        <v>2232.12</v>
      </c>
      <c r="BG187" s="7" t="s">
        <v>98</v>
      </c>
      <c r="BH187" s="7" t="s">
        <v>98</v>
      </c>
      <c r="BI187" s="7"/>
      <c r="BJ187" s="4"/>
      <c r="BK187" s="8"/>
      <c r="BL187" s="2" t="s">
        <v>800</v>
      </c>
      <c r="BM187" s="7"/>
      <c r="BN187" s="7"/>
      <c r="BO187" s="4"/>
      <c r="BP187" s="8"/>
      <c r="BQ187" s="4">
        <v>71</v>
      </c>
      <c r="BR187" s="8">
        <v>1200.61</v>
      </c>
      <c r="BS187" s="7">
        <v>-1</v>
      </c>
      <c r="BT187" s="7">
        <v>-1</v>
      </c>
      <c r="BU187" s="2" t="s">
        <v>211</v>
      </c>
      <c r="BV187" s="2" t="s">
        <v>352</v>
      </c>
      <c r="BW187" s="2" t="s">
        <v>801</v>
      </c>
      <c r="BX187" s="2" t="s">
        <v>802</v>
      </c>
      <c r="BY187" s="2" t="s">
        <v>111</v>
      </c>
    </row>
    <row r="188">
      <c r="A188" s="2" t="s">
        <v>803</v>
      </c>
      <c r="B188" s="2" t="s">
        <v>86</v>
      </c>
      <c r="C188" s="2" t="s">
        <v>87</v>
      </c>
      <c r="D188" s="2" t="s">
        <v>88</v>
      </c>
      <c r="E188" s="2" t="s">
        <v>88</v>
      </c>
      <c r="F188" s="2" t="s">
        <v>793</v>
      </c>
      <c r="G188" s="2" t="s">
        <v>794</v>
      </c>
      <c r="H188" s="2" t="s">
        <v>795</v>
      </c>
      <c r="I188" s="2" t="s">
        <v>796</v>
      </c>
      <c r="J188" s="2" t="s">
        <v>93</v>
      </c>
      <c r="K188" s="2" t="s">
        <v>464</v>
      </c>
      <c r="L188" s="3">
        <v>17.39</v>
      </c>
      <c r="M188" s="3">
        <v>18.26</v>
      </c>
      <c r="N188" s="3">
        <v>36.99</v>
      </c>
      <c r="O188" s="2" t="s">
        <v>368</v>
      </c>
      <c r="P188" s="2" t="s">
        <v>465</v>
      </c>
      <c r="Q188" s="2" t="s">
        <v>97</v>
      </c>
      <c r="R188" s="2" t="s">
        <v>98</v>
      </c>
      <c r="S188" s="2" t="s">
        <v>804</v>
      </c>
      <c r="T188" s="2" t="s">
        <v>98</v>
      </c>
      <c r="U188" s="2" t="s">
        <v>100</v>
      </c>
      <c r="V188" s="2" t="s">
        <v>798</v>
      </c>
      <c r="W188" s="2" t="s">
        <v>649</v>
      </c>
      <c r="X188" s="2" t="s">
        <v>98</v>
      </c>
      <c r="Y188" s="2" t="s">
        <v>799</v>
      </c>
      <c r="Z188" s="4"/>
      <c r="AA188" s="4">
        <f>=ROUNDDOWN({0},0)</f>
      </c>
      <c r="AB188" s="5"/>
      <c r="AC188" s="2" t="s">
        <v>98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61</v>
      </c>
      <c r="AS188" s="8">
        <v>1031.51</v>
      </c>
      <c r="AT188" s="7">
        <v>-1</v>
      </c>
      <c r="AU188" s="7">
        <v>-1</v>
      </c>
      <c r="AV188" s="4"/>
      <c r="AW188" s="8"/>
      <c r="AX188" s="4">
        <v>61</v>
      </c>
      <c r="AY188" s="8">
        <v>1031.51</v>
      </c>
      <c r="AZ188" s="7">
        <v>-1</v>
      </c>
      <c r="BA188" s="7">
        <v>-1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/>
      <c r="BK188" s="8"/>
      <c r="BL188" s="2" t="s">
        <v>673</v>
      </c>
      <c r="BM188" s="7"/>
      <c r="BN188" s="7"/>
      <c r="BO188" s="4"/>
      <c r="BP188" s="8"/>
      <c r="BQ188" s="4">
        <v>61</v>
      </c>
      <c r="BR188" s="8">
        <v>1031.51</v>
      </c>
      <c r="BS188" s="7">
        <v>-1</v>
      </c>
      <c r="BT188" s="7">
        <v>-1</v>
      </c>
      <c r="BU188" s="2" t="s">
        <v>211</v>
      </c>
      <c r="BV188" s="2" t="s">
        <v>352</v>
      </c>
      <c r="BW188" s="2" t="s">
        <v>801</v>
      </c>
      <c r="BX188" s="2" t="s">
        <v>805</v>
      </c>
      <c r="BY188" s="2" t="s">
        <v>111</v>
      </c>
    </row>
    <row r="189">
      <c r="A189" s="2" t="s">
        <v>806</v>
      </c>
      <c r="B189" s="2" t="s">
        <v>86</v>
      </c>
      <c r="C189" s="2" t="s">
        <v>87</v>
      </c>
      <c r="D189" s="2" t="s">
        <v>88</v>
      </c>
      <c r="E189" s="2" t="s">
        <v>88</v>
      </c>
      <c r="F189" s="2" t="s">
        <v>807</v>
      </c>
      <c r="G189" s="2" t="s">
        <v>808</v>
      </c>
      <c r="H189" s="2" t="s">
        <v>90</v>
      </c>
      <c r="I189" s="2" t="s">
        <v>759</v>
      </c>
      <c r="J189" s="2" t="s">
        <v>809</v>
      </c>
      <c r="K189" s="2" t="s">
        <v>458</v>
      </c>
      <c r="L189" s="3">
        <v>9</v>
      </c>
      <c r="M189" s="3">
        <v>9.45</v>
      </c>
      <c r="N189" s="3">
        <v>19.99</v>
      </c>
      <c r="O189" s="2" t="s">
        <v>368</v>
      </c>
      <c r="P189" s="2" t="s">
        <v>215</v>
      </c>
      <c r="Q189" s="2" t="s">
        <v>97</v>
      </c>
      <c r="R189" s="2" t="s">
        <v>98</v>
      </c>
      <c r="S189" s="2" t="s">
        <v>810</v>
      </c>
      <c r="T189" s="2" t="s">
        <v>98</v>
      </c>
      <c r="U189" s="2" t="s">
        <v>98</v>
      </c>
      <c r="V189" s="2" t="s">
        <v>334</v>
      </c>
      <c r="W189" s="2" t="s">
        <v>335</v>
      </c>
      <c r="X189" s="2" t="s">
        <v>98</v>
      </c>
      <c r="Y189" s="2" t="s">
        <v>104</v>
      </c>
      <c r="Z189" s="4"/>
      <c r="AA189" s="4">
        <f>=ROUNDDOWN({0},0)</f>
      </c>
      <c r="AB189" s="5">
        <v>2</v>
      </c>
      <c r="AC189" s="2" t="s">
        <v>98</v>
      </c>
      <c r="AD189" s="4"/>
      <c r="AE189" s="4"/>
      <c r="AF189" s="6"/>
      <c r="AG189" s="6"/>
      <c r="AH189" s="7">
        <v>0.8333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>
        <v>8</v>
      </c>
      <c r="AS189" s="8">
        <v>74.88</v>
      </c>
      <c r="AT189" s="7">
        <v>-1</v>
      </c>
      <c r="AU189" s="7">
        <v>-1</v>
      </c>
      <c r="AV189" s="4" t="s">
        <v>98</v>
      </c>
      <c r="AW189" s="8" t="s">
        <v>98</v>
      </c>
      <c r="AX189" s="4">
        <v>18</v>
      </c>
      <c r="AY189" s="8">
        <v>189.18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>
        <v>48</v>
      </c>
      <c r="BF189" s="8">
        <v>532.08</v>
      </c>
      <c r="BG189" s="7" t="s">
        <v>98</v>
      </c>
      <c r="BH189" s="7" t="s">
        <v>98</v>
      </c>
      <c r="BI189" s="7"/>
      <c r="BJ189" s="4">
        <v>4</v>
      </c>
      <c r="BK189" s="8">
        <v>39.45</v>
      </c>
      <c r="BL189" s="2" t="s">
        <v>811</v>
      </c>
      <c r="BM189" s="7"/>
      <c r="BN189" s="7"/>
      <c r="BO189" s="4"/>
      <c r="BP189" s="8"/>
      <c r="BQ189" s="4">
        <v>8</v>
      </c>
      <c r="BR189" s="8">
        <v>74.88</v>
      </c>
      <c r="BS189" s="7">
        <v>-1</v>
      </c>
      <c r="BT189" s="7">
        <v>-1</v>
      </c>
      <c r="BU189" s="2" t="s">
        <v>211</v>
      </c>
      <c r="BV189" s="2" t="s">
        <v>352</v>
      </c>
      <c r="BW189" s="2" t="s">
        <v>109</v>
      </c>
      <c r="BX189" s="2" t="s">
        <v>812</v>
      </c>
      <c r="BY189" s="2" t="s">
        <v>111</v>
      </c>
    </row>
    <row r="190">
      <c r="A190" s="2" t="s">
        <v>813</v>
      </c>
      <c r="B190" s="2" t="s">
        <v>86</v>
      </c>
      <c r="C190" s="2" t="s">
        <v>87</v>
      </c>
      <c r="D190" s="2" t="s">
        <v>88</v>
      </c>
      <c r="E190" s="2" t="s">
        <v>88</v>
      </c>
      <c r="F190" s="2" t="s">
        <v>807</v>
      </c>
      <c r="G190" s="2" t="s">
        <v>808</v>
      </c>
      <c r="H190" s="2" t="s">
        <v>90</v>
      </c>
      <c r="I190" s="2" t="s">
        <v>759</v>
      </c>
      <c r="J190" s="2" t="s">
        <v>814</v>
      </c>
      <c r="K190" s="2" t="s">
        <v>458</v>
      </c>
      <c r="L190" s="3">
        <v>11</v>
      </c>
      <c r="M190" s="3">
        <v>11.55</v>
      </c>
      <c r="N190" s="3">
        <v>24.99</v>
      </c>
      <c r="O190" s="2" t="s">
        <v>368</v>
      </c>
      <c r="P190" s="2" t="s">
        <v>215</v>
      </c>
      <c r="Q190" s="2" t="s">
        <v>97</v>
      </c>
      <c r="R190" s="2" t="s">
        <v>98</v>
      </c>
      <c r="S190" s="2" t="s">
        <v>810</v>
      </c>
      <c r="T190" s="2" t="s">
        <v>98</v>
      </c>
      <c r="U190" s="2" t="s">
        <v>98</v>
      </c>
      <c r="V190" s="2" t="s">
        <v>334</v>
      </c>
      <c r="W190" s="2" t="s">
        <v>335</v>
      </c>
      <c r="X190" s="2" t="s">
        <v>98</v>
      </c>
      <c r="Y190" s="2" t="s">
        <v>104</v>
      </c>
      <c r="Z190" s="4"/>
      <c r="AA190" s="4">
        <f>=ROUNDDOWN({0},0)</f>
      </c>
      <c r="AB190" s="5">
        <v>0.7</v>
      </c>
      <c r="AC190" s="2" t="s">
        <v>98</v>
      </c>
      <c r="AD190" s="4"/>
      <c r="AE190" s="4"/>
      <c r="AF190" s="6"/>
      <c r="AG190" s="6"/>
      <c r="AH190" s="7">
        <v>0.4444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10</v>
      </c>
      <c r="AS190" s="8">
        <v>114.3</v>
      </c>
      <c r="AT190" s="7">
        <v>-1</v>
      </c>
      <c r="AU190" s="7">
        <v>-1</v>
      </c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/>
      <c r="BJ190" s="4">
        <v>4</v>
      </c>
      <c r="BK190" s="8">
        <v>46</v>
      </c>
      <c r="BL190" s="2" t="s">
        <v>815</v>
      </c>
      <c r="BM190" s="7"/>
      <c r="BN190" s="7"/>
      <c r="BO190" s="4"/>
      <c r="BP190" s="8"/>
      <c r="BQ190" s="4">
        <v>10</v>
      </c>
      <c r="BR190" s="8">
        <v>114.3</v>
      </c>
      <c r="BS190" s="7">
        <v>-1</v>
      </c>
      <c r="BT190" s="7">
        <v>-1</v>
      </c>
      <c r="BU190" s="2" t="s">
        <v>211</v>
      </c>
      <c r="BV190" s="2" t="s">
        <v>352</v>
      </c>
      <c r="BW190" s="2" t="s">
        <v>109</v>
      </c>
      <c r="BX190" s="2" t="s">
        <v>816</v>
      </c>
      <c r="BY190" s="2" t="s">
        <v>111</v>
      </c>
    </row>
    <row r="191">
      <c r="A191" s="2" t="s">
        <v>817</v>
      </c>
      <c r="B191" s="2" t="s">
        <v>86</v>
      </c>
      <c r="C191" s="2" t="s">
        <v>87</v>
      </c>
      <c r="D191" s="2" t="s">
        <v>88</v>
      </c>
      <c r="E191" s="2" t="s">
        <v>88</v>
      </c>
      <c r="F191" s="2" t="s">
        <v>807</v>
      </c>
      <c r="G191" s="2" t="s">
        <v>808</v>
      </c>
      <c r="H191" s="2" t="s">
        <v>90</v>
      </c>
      <c r="I191" s="2" t="s">
        <v>759</v>
      </c>
      <c r="J191" s="2" t="s">
        <v>814</v>
      </c>
      <c r="K191" s="2" t="s">
        <v>455</v>
      </c>
      <c r="L191" s="3">
        <v>11</v>
      </c>
      <c r="M191" s="3">
        <v>11.55</v>
      </c>
      <c r="N191" s="3">
        <v>24.99</v>
      </c>
      <c r="O191" s="2" t="s">
        <v>368</v>
      </c>
      <c r="P191" s="2" t="s">
        <v>215</v>
      </c>
      <c r="Q191" s="2" t="s">
        <v>97</v>
      </c>
      <c r="R191" s="2" t="s">
        <v>98</v>
      </c>
      <c r="S191" s="2" t="s">
        <v>818</v>
      </c>
      <c r="T191" s="2" t="s">
        <v>98</v>
      </c>
      <c r="U191" s="2" t="s">
        <v>98</v>
      </c>
      <c r="V191" s="2" t="s">
        <v>334</v>
      </c>
      <c r="W191" s="2" t="s">
        <v>335</v>
      </c>
      <c r="X191" s="2" t="s">
        <v>98</v>
      </c>
      <c r="Y191" s="2" t="s">
        <v>104</v>
      </c>
      <c r="Z191" s="4"/>
      <c r="AA191" s="4">
        <f>=ROUNDDOWN({0},0)</f>
      </c>
      <c r="AB191" s="5"/>
      <c r="AC191" s="2" t="s">
        <v>98</v>
      </c>
      <c r="AD191" s="4"/>
      <c r="AE191" s="4"/>
      <c r="AF191" s="6"/>
      <c r="AG191" s="6"/>
      <c r="AH191" s="7">
        <v>0.4222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30</v>
      </c>
      <c r="AS191" s="8">
        <v>342.9</v>
      </c>
      <c r="AT191" s="7">
        <v>-1</v>
      </c>
      <c r="AU191" s="7">
        <v>-1</v>
      </c>
      <c r="AV191" s="4"/>
      <c r="AW191" s="8"/>
      <c r="AX191" s="4">
        <v>30</v>
      </c>
      <c r="AY191" s="8">
        <v>342.9</v>
      </c>
      <c r="AZ191" s="7">
        <v>-1</v>
      </c>
      <c r="BA191" s="7">
        <v>-1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/>
      <c r="BJ191" s="4"/>
      <c r="BK191" s="8"/>
      <c r="BL191" s="2" t="s">
        <v>819</v>
      </c>
      <c r="BM191" s="7"/>
      <c r="BN191" s="7"/>
      <c r="BO191" s="4"/>
      <c r="BP191" s="8"/>
      <c r="BQ191" s="4">
        <v>30</v>
      </c>
      <c r="BR191" s="8">
        <v>342.9</v>
      </c>
      <c r="BS191" s="7">
        <v>-1</v>
      </c>
      <c r="BT191" s="7">
        <v>-1</v>
      </c>
      <c r="BU191" s="2" t="s">
        <v>211</v>
      </c>
      <c r="BV191" s="2" t="s">
        <v>352</v>
      </c>
      <c r="BW191" s="2" t="s">
        <v>109</v>
      </c>
      <c r="BX191" s="2" t="s">
        <v>820</v>
      </c>
      <c r="BY191" s="2" t="s">
        <v>111</v>
      </c>
    </row>
    <row r="192">
      <c r="A192" s="2" t="s">
        <v>821</v>
      </c>
      <c r="B192" s="2" t="s">
        <v>86</v>
      </c>
      <c r="C192" s="2" t="s">
        <v>87</v>
      </c>
      <c r="D192" s="2" t="s">
        <v>88</v>
      </c>
      <c r="E192" s="2" t="s">
        <v>88</v>
      </c>
      <c r="F192" s="2" t="s">
        <v>822</v>
      </c>
      <c r="G192" s="2" t="s">
        <v>823</v>
      </c>
      <c r="H192" s="2" t="s">
        <v>824</v>
      </c>
      <c r="I192" s="2" t="s">
        <v>825</v>
      </c>
      <c r="J192" s="2" t="s">
        <v>93</v>
      </c>
      <c r="K192" s="2" t="s">
        <v>826</v>
      </c>
      <c r="L192" s="3">
        <v>15.12</v>
      </c>
      <c r="M192" s="3">
        <v>15.88</v>
      </c>
      <c r="N192" s="3">
        <v>32.99</v>
      </c>
      <c r="O192" s="2" t="s">
        <v>368</v>
      </c>
      <c r="P192" s="2" t="s">
        <v>215</v>
      </c>
      <c r="Q192" s="2" t="s">
        <v>97</v>
      </c>
      <c r="R192" s="2" t="s">
        <v>98</v>
      </c>
      <c r="S192" s="2" t="s">
        <v>827</v>
      </c>
      <c r="T192" s="2" t="s">
        <v>98</v>
      </c>
      <c r="U192" s="2" t="s">
        <v>100</v>
      </c>
      <c r="V192" s="2" t="s">
        <v>762</v>
      </c>
      <c r="W192" s="2" t="s">
        <v>649</v>
      </c>
      <c r="X192" s="2" t="s">
        <v>102</v>
      </c>
      <c r="Y192" s="2" t="s">
        <v>672</v>
      </c>
      <c r="Z192" s="4"/>
      <c r="AA192" s="4">
        <f>=ROUNDDOWN({0},0)</f>
      </c>
      <c r="AB192" s="5"/>
      <c r="AC192" s="2" t="s">
        <v>98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59</v>
      </c>
      <c r="AS192" s="8">
        <v>910.96</v>
      </c>
      <c r="AT192" s="7">
        <v>-1</v>
      </c>
      <c r="AU192" s="7">
        <v>-1</v>
      </c>
      <c r="AV192" s="4" t="s">
        <v>98</v>
      </c>
      <c r="AW192" s="8" t="s">
        <v>98</v>
      </c>
      <c r="AX192" s="4">
        <v>70</v>
      </c>
      <c r="AY192" s="8">
        <v>1108.96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>
        <v>116</v>
      </c>
      <c r="BF192" s="8">
        <v>1834.56</v>
      </c>
      <c r="BG192" s="7" t="s">
        <v>98</v>
      </c>
      <c r="BH192" s="7" t="s">
        <v>98</v>
      </c>
      <c r="BI192" s="7"/>
      <c r="BJ192" s="4"/>
      <c r="BK192" s="8"/>
      <c r="BL192" s="2" t="s">
        <v>828</v>
      </c>
      <c r="BM192" s="7"/>
      <c r="BN192" s="7"/>
      <c r="BO192" s="4"/>
      <c r="BP192" s="8"/>
      <c r="BQ192" s="4">
        <v>59</v>
      </c>
      <c r="BR192" s="8">
        <v>910.96</v>
      </c>
      <c r="BS192" s="7">
        <v>-1</v>
      </c>
      <c r="BT192" s="7">
        <v>-1</v>
      </c>
      <c r="BU192" s="2" t="s">
        <v>211</v>
      </c>
      <c r="BV192" s="2" t="s">
        <v>352</v>
      </c>
      <c r="BW192" s="2" t="s">
        <v>570</v>
      </c>
      <c r="BX192" s="2" t="s">
        <v>674</v>
      </c>
      <c r="BY192" s="2" t="s">
        <v>111</v>
      </c>
    </row>
    <row r="193">
      <c r="A193" s="2" t="s">
        <v>829</v>
      </c>
      <c r="B193" s="2" t="s">
        <v>86</v>
      </c>
      <c r="C193" s="2" t="s">
        <v>87</v>
      </c>
      <c r="D193" s="2" t="s">
        <v>88</v>
      </c>
      <c r="E193" s="2" t="s">
        <v>88</v>
      </c>
      <c r="F193" s="2" t="s">
        <v>822</v>
      </c>
      <c r="G193" s="2" t="s">
        <v>823</v>
      </c>
      <c r="H193" s="2" t="s">
        <v>824</v>
      </c>
      <c r="I193" s="2" t="s">
        <v>825</v>
      </c>
      <c r="J193" s="2" t="s">
        <v>113</v>
      </c>
      <c r="K193" s="2" t="s">
        <v>826</v>
      </c>
      <c r="L193" s="3">
        <v>17.64</v>
      </c>
      <c r="M193" s="3">
        <v>18.52</v>
      </c>
      <c r="N193" s="3">
        <v>37.99</v>
      </c>
      <c r="O193" s="2" t="s">
        <v>368</v>
      </c>
      <c r="P193" s="2" t="s">
        <v>215</v>
      </c>
      <c r="Q193" s="2" t="s">
        <v>97</v>
      </c>
      <c r="R193" s="2" t="s">
        <v>98</v>
      </c>
      <c r="S193" s="2" t="s">
        <v>827</v>
      </c>
      <c r="T193" s="2" t="s">
        <v>98</v>
      </c>
      <c r="U193" s="2" t="s">
        <v>100</v>
      </c>
      <c r="V193" s="2" t="s">
        <v>762</v>
      </c>
      <c r="W193" s="2" t="s">
        <v>649</v>
      </c>
      <c r="X193" s="2" t="s">
        <v>102</v>
      </c>
      <c r="Y193" s="2" t="s">
        <v>672</v>
      </c>
      <c r="Z193" s="4"/>
      <c r="AA193" s="4">
        <f>=ROUNDDOWN({0},0)</f>
      </c>
      <c r="AB193" s="5"/>
      <c r="AC193" s="2" t="s">
        <v>98</v>
      </c>
      <c r="AD193" s="4"/>
      <c r="AE193" s="4"/>
      <c r="AF193" s="6"/>
      <c r="AG193" s="6"/>
      <c r="AH193" s="7">
        <v>0.4222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11</v>
      </c>
      <c r="AS193" s="8">
        <v>198</v>
      </c>
      <c r="AT193" s="7">
        <v>-1</v>
      </c>
      <c r="AU193" s="7">
        <v>-1</v>
      </c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/>
      <c r="BK193" s="8"/>
      <c r="BL193" s="2" t="s">
        <v>830</v>
      </c>
      <c r="BM193" s="7"/>
      <c r="BN193" s="7"/>
      <c r="BO193" s="4"/>
      <c r="BP193" s="8"/>
      <c r="BQ193" s="4">
        <v>11</v>
      </c>
      <c r="BR193" s="8">
        <v>198</v>
      </c>
      <c r="BS193" s="7">
        <v>-1</v>
      </c>
      <c r="BT193" s="7">
        <v>-1</v>
      </c>
      <c r="BU193" s="2" t="s">
        <v>211</v>
      </c>
      <c r="BV193" s="2" t="s">
        <v>352</v>
      </c>
      <c r="BW193" s="2" t="s">
        <v>570</v>
      </c>
      <c r="BX193" s="2" t="s">
        <v>709</v>
      </c>
      <c r="BY193" s="2" t="s">
        <v>111</v>
      </c>
    </row>
    <row r="194">
      <c r="A194" s="2" t="s">
        <v>831</v>
      </c>
      <c r="B194" s="2" t="s">
        <v>86</v>
      </c>
      <c r="C194" s="2" t="s">
        <v>87</v>
      </c>
      <c r="D194" s="2" t="s">
        <v>88</v>
      </c>
      <c r="E194" s="2" t="s">
        <v>88</v>
      </c>
      <c r="F194" s="2" t="s">
        <v>822</v>
      </c>
      <c r="G194" s="2" t="s">
        <v>823</v>
      </c>
      <c r="H194" s="2" t="s">
        <v>824</v>
      </c>
      <c r="I194" s="2" t="s">
        <v>825</v>
      </c>
      <c r="J194" s="2" t="s">
        <v>93</v>
      </c>
      <c r="K194" s="2" t="s">
        <v>557</v>
      </c>
      <c r="L194" s="3">
        <v>15.12</v>
      </c>
      <c r="M194" s="3">
        <v>15.88</v>
      </c>
      <c r="N194" s="3">
        <v>32.99</v>
      </c>
      <c r="O194" s="2" t="s">
        <v>368</v>
      </c>
      <c r="P194" s="2" t="s">
        <v>215</v>
      </c>
      <c r="Q194" s="2" t="s">
        <v>97</v>
      </c>
      <c r="R194" s="2" t="s">
        <v>98</v>
      </c>
      <c r="S194" s="2" t="s">
        <v>827</v>
      </c>
      <c r="T194" s="2" t="s">
        <v>98</v>
      </c>
      <c r="U194" s="2" t="s">
        <v>100</v>
      </c>
      <c r="V194" s="2" t="s">
        <v>762</v>
      </c>
      <c r="W194" s="2" t="s">
        <v>649</v>
      </c>
      <c r="X194" s="2" t="s">
        <v>102</v>
      </c>
      <c r="Y194" s="2" t="s">
        <v>672</v>
      </c>
      <c r="Z194" s="4"/>
      <c r="AA194" s="4">
        <f>=ROUNDDOWN({0},0)</f>
      </c>
      <c r="AB194" s="5"/>
      <c r="AC194" s="2" t="s">
        <v>98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40</v>
      </c>
      <c r="AS194" s="8">
        <v>617.6</v>
      </c>
      <c r="AT194" s="7">
        <v>-1</v>
      </c>
      <c r="AU194" s="7">
        <v>-1</v>
      </c>
      <c r="AV194" s="4" t="s">
        <v>98</v>
      </c>
      <c r="AW194" s="8" t="s">
        <v>98</v>
      </c>
      <c r="AX194" s="4">
        <v>46</v>
      </c>
      <c r="AY194" s="8">
        <v>725.6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/>
      <c r="BK194" s="8"/>
      <c r="BL194" s="2" t="s">
        <v>832</v>
      </c>
      <c r="BM194" s="7"/>
      <c r="BN194" s="7"/>
      <c r="BO194" s="4"/>
      <c r="BP194" s="8"/>
      <c r="BQ194" s="4">
        <v>40</v>
      </c>
      <c r="BR194" s="8">
        <v>617.6</v>
      </c>
      <c r="BS194" s="7">
        <v>-1</v>
      </c>
      <c r="BT194" s="7">
        <v>-1</v>
      </c>
      <c r="BU194" s="2" t="s">
        <v>211</v>
      </c>
      <c r="BV194" s="2" t="s">
        <v>352</v>
      </c>
      <c r="BW194" s="2" t="s">
        <v>570</v>
      </c>
      <c r="BX194" s="2" t="s">
        <v>725</v>
      </c>
      <c r="BY194" s="2" t="s">
        <v>111</v>
      </c>
    </row>
    <row r="195">
      <c r="A195" s="2" t="s">
        <v>833</v>
      </c>
      <c r="B195" s="2" t="s">
        <v>86</v>
      </c>
      <c r="C195" s="2" t="s">
        <v>87</v>
      </c>
      <c r="D195" s="2" t="s">
        <v>88</v>
      </c>
      <c r="E195" s="2" t="s">
        <v>88</v>
      </c>
      <c r="F195" s="2" t="s">
        <v>822</v>
      </c>
      <c r="G195" s="2" t="s">
        <v>823</v>
      </c>
      <c r="H195" s="2" t="s">
        <v>824</v>
      </c>
      <c r="I195" s="2" t="s">
        <v>825</v>
      </c>
      <c r="J195" s="2" t="s">
        <v>113</v>
      </c>
      <c r="K195" s="2" t="s">
        <v>557</v>
      </c>
      <c r="L195" s="3">
        <v>17.64</v>
      </c>
      <c r="M195" s="3">
        <v>18.52</v>
      </c>
      <c r="N195" s="3">
        <v>37.99</v>
      </c>
      <c r="O195" s="2" t="s">
        <v>368</v>
      </c>
      <c r="P195" s="2" t="s">
        <v>465</v>
      </c>
      <c r="Q195" s="2" t="s">
        <v>97</v>
      </c>
      <c r="R195" s="2" t="s">
        <v>98</v>
      </c>
      <c r="S195" s="2" t="s">
        <v>827</v>
      </c>
      <c r="T195" s="2" t="s">
        <v>98</v>
      </c>
      <c r="U195" s="2" t="s">
        <v>100</v>
      </c>
      <c r="V195" s="2" t="s">
        <v>762</v>
      </c>
      <c r="W195" s="2" t="s">
        <v>649</v>
      </c>
      <c r="X195" s="2" t="s">
        <v>102</v>
      </c>
      <c r="Y195" s="2" t="s">
        <v>672</v>
      </c>
      <c r="Z195" s="4">
        <v>3</v>
      </c>
      <c r="AA195" s="4">
        <f>=ROUNDDOWN(1.57894736842105,0)</f>
      </c>
      <c r="AB195" s="5">
        <v>1.9</v>
      </c>
      <c r="AC195" s="2" t="s">
        <v>98</v>
      </c>
      <c r="AD195" s="4"/>
      <c r="AE195" s="4"/>
      <c r="AF195" s="6"/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6</v>
      </c>
      <c r="AS195" s="8">
        <v>108</v>
      </c>
      <c r="AT195" s="7">
        <v>-1</v>
      </c>
      <c r="AU195" s="7">
        <v>-1</v>
      </c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/>
      <c r="BJ195" s="4">
        <v>24</v>
      </c>
      <c r="BK195" s="8">
        <v>444.48</v>
      </c>
      <c r="BL195" s="2" t="s">
        <v>834</v>
      </c>
      <c r="BM195" s="7"/>
      <c r="BN195" s="7"/>
      <c r="BO195" s="4"/>
      <c r="BP195" s="8"/>
      <c r="BQ195" s="4">
        <v>6</v>
      </c>
      <c r="BR195" s="8">
        <v>108</v>
      </c>
      <c r="BS195" s="7">
        <v>-1</v>
      </c>
      <c r="BT195" s="7">
        <v>-1</v>
      </c>
      <c r="BU195" s="2" t="s">
        <v>211</v>
      </c>
      <c r="BV195" s="2" t="s">
        <v>352</v>
      </c>
      <c r="BW195" s="2" t="s">
        <v>570</v>
      </c>
      <c r="BX195" s="2" t="s">
        <v>835</v>
      </c>
      <c r="BY195" s="2" t="s">
        <v>354</v>
      </c>
    </row>
    <row r="196">
      <c r="A196" s="2" t="s">
        <v>836</v>
      </c>
      <c r="B196" s="2" t="s">
        <v>86</v>
      </c>
      <c r="C196" s="2" t="s">
        <v>87</v>
      </c>
      <c r="D196" s="2" t="s">
        <v>88</v>
      </c>
      <c r="E196" s="2" t="s">
        <v>837</v>
      </c>
      <c r="F196" s="2" t="s">
        <v>838</v>
      </c>
      <c r="G196" s="2" t="s">
        <v>839</v>
      </c>
      <c r="H196" s="2" t="s">
        <v>840</v>
      </c>
      <c r="I196" s="2" t="s">
        <v>841</v>
      </c>
      <c r="J196" s="2" t="s">
        <v>842</v>
      </c>
      <c r="K196" s="2" t="s">
        <v>557</v>
      </c>
      <c r="L196" s="3">
        <v>25.85</v>
      </c>
      <c r="M196" s="3">
        <v>27.14</v>
      </c>
      <c r="N196" s="3">
        <v>54.99</v>
      </c>
      <c r="O196" s="2" t="s">
        <v>368</v>
      </c>
      <c r="P196" s="2" t="s">
        <v>215</v>
      </c>
      <c r="Q196" s="2" t="s">
        <v>97</v>
      </c>
      <c r="R196" s="2" t="s">
        <v>98</v>
      </c>
      <c r="S196" s="2" t="s">
        <v>843</v>
      </c>
      <c r="T196" s="2" t="s">
        <v>844</v>
      </c>
      <c r="U196" s="2" t="s">
        <v>100</v>
      </c>
      <c r="V196" s="2" t="s">
        <v>101</v>
      </c>
      <c r="W196" s="2" t="s">
        <v>567</v>
      </c>
      <c r="X196" s="2" t="s">
        <v>98</v>
      </c>
      <c r="Y196" s="2" t="s">
        <v>845</v>
      </c>
      <c r="Z196" s="4">
        <v>6</v>
      </c>
      <c r="AA196" s="4">
        <f>=ROUNDDOWN(0.6,0)</f>
      </c>
      <c r="AB196" s="5">
        <v>10</v>
      </c>
      <c r="AC196" s="2" t="s">
        <v>98</v>
      </c>
      <c r="AD196" s="4"/>
      <c r="AE196" s="4"/>
      <c r="AF196" s="6">
        <v>72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143</v>
      </c>
      <c r="AQ196" s="8">
        <v>2037.75</v>
      </c>
      <c r="AR196" s="4"/>
      <c r="AS196" s="8"/>
      <c r="AT196" s="7"/>
      <c r="AU196" s="7"/>
      <c r="AV196" s="4">
        <v>481</v>
      </c>
      <c r="AW196" s="8">
        <v>7618.81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0.2675</v>
      </c>
      <c r="BC196" s="4">
        <v>670</v>
      </c>
      <c r="BD196" s="8">
        <v>10743.86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0.7091</v>
      </c>
      <c r="BJ196" s="4">
        <v>271</v>
      </c>
      <c r="BK196" s="8">
        <v>5412.57</v>
      </c>
      <c r="BL196" s="2" t="s">
        <v>846</v>
      </c>
      <c r="BM196" s="7">
        <v>0.5277</v>
      </c>
      <c r="BN196" s="7">
        <v>0.3765</v>
      </c>
      <c r="BO196" s="4">
        <v>143</v>
      </c>
      <c r="BP196" s="8">
        <v>2037.75</v>
      </c>
      <c r="BQ196" s="4"/>
      <c r="BR196" s="8"/>
      <c r="BS196" s="7"/>
      <c r="BT196" s="7"/>
      <c r="BU196" s="2" t="s">
        <v>211</v>
      </c>
      <c r="BV196" s="2" t="s">
        <v>352</v>
      </c>
      <c r="BW196" s="2" t="s">
        <v>601</v>
      </c>
      <c r="BX196" s="2" t="s">
        <v>546</v>
      </c>
      <c r="BY196" s="2" t="s">
        <v>354</v>
      </c>
    </row>
    <row r="197">
      <c r="A197" s="2" t="s">
        <v>847</v>
      </c>
      <c r="B197" s="2" t="s">
        <v>86</v>
      </c>
      <c r="C197" s="2" t="s">
        <v>87</v>
      </c>
      <c r="D197" s="2" t="s">
        <v>88</v>
      </c>
      <c r="E197" s="2" t="s">
        <v>837</v>
      </c>
      <c r="F197" s="2" t="s">
        <v>838</v>
      </c>
      <c r="G197" s="2" t="s">
        <v>839</v>
      </c>
      <c r="H197" s="2" t="s">
        <v>840</v>
      </c>
      <c r="I197" s="2" t="s">
        <v>841</v>
      </c>
      <c r="J197" s="2" t="s">
        <v>848</v>
      </c>
      <c r="K197" s="2" t="s">
        <v>557</v>
      </c>
      <c r="L197" s="3">
        <v>27.85</v>
      </c>
      <c r="M197" s="3">
        <v>29.24</v>
      </c>
      <c r="N197" s="3">
        <v>59.99</v>
      </c>
      <c r="O197" s="2" t="s">
        <v>241</v>
      </c>
      <c r="P197" s="2" t="s">
        <v>215</v>
      </c>
      <c r="Q197" s="2" t="s">
        <v>97</v>
      </c>
      <c r="R197" s="2" t="s">
        <v>98</v>
      </c>
      <c r="S197" s="2" t="s">
        <v>843</v>
      </c>
      <c r="T197" s="2" t="s">
        <v>844</v>
      </c>
      <c r="U197" s="2" t="s">
        <v>100</v>
      </c>
      <c r="V197" s="2" t="s">
        <v>101</v>
      </c>
      <c r="W197" s="2" t="s">
        <v>567</v>
      </c>
      <c r="X197" s="2" t="s">
        <v>98</v>
      </c>
      <c r="Y197" s="2" t="s">
        <v>845</v>
      </c>
      <c r="Z197" s="4"/>
      <c r="AA197" s="4">
        <f>=ROUNDDOWN({0},0)</f>
      </c>
      <c r="AB197" s="5">
        <v>1.3</v>
      </c>
      <c r="AC197" s="2" t="s">
        <v>98</v>
      </c>
      <c r="AD197" s="4"/>
      <c r="AE197" s="4"/>
      <c r="AF197" s="6">
        <v>72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101</v>
      </c>
      <c r="AQ197" s="8">
        <v>1550.35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0.2035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218</v>
      </c>
      <c r="BK197" s="8">
        <v>4177.76</v>
      </c>
      <c r="BL197" s="2" t="s">
        <v>846</v>
      </c>
      <c r="BM197" s="7">
        <v>0.4633</v>
      </c>
      <c r="BN197" s="7">
        <v>0.3711</v>
      </c>
      <c r="BO197" s="4">
        <v>101</v>
      </c>
      <c r="BP197" s="8">
        <v>1550.35</v>
      </c>
      <c r="BQ197" s="4"/>
      <c r="BR197" s="8"/>
      <c r="BS197" s="7"/>
      <c r="BT197" s="7"/>
      <c r="BU197" s="2" t="s">
        <v>211</v>
      </c>
      <c r="BV197" s="2" t="s">
        <v>352</v>
      </c>
      <c r="BW197" s="2" t="s">
        <v>601</v>
      </c>
      <c r="BX197" s="2" t="s">
        <v>849</v>
      </c>
      <c r="BY197" s="2" t="s">
        <v>354</v>
      </c>
    </row>
    <row r="198">
      <c r="A198" s="2" t="s">
        <v>850</v>
      </c>
      <c r="B198" s="2" t="s">
        <v>86</v>
      </c>
      <c r="C198" s="2" t="s">
        <v>87</v>
      </c>
      <c r="D198" s="2" t="s">
        <v>88</v>
      </c>
      <c r="E198" s="2" t="s">
        <v>837</v>
      </c>
      <c r="F198" s="2" t="s">
        <v>838</v>
      </c>
      <c r="G198" s="2" t="s">
        <v>839</v>
      </c>
      <c r="H198" s="2" t="s">
        <v>840</v>
      </c>
      <c r="I198" s="2" t="s">
        <v>841</v>
      </c>
      <c r="J198" s="2" t="s">
        <v>851</v>
      </c>
      <c r="K198" s="2" t="s">
        <v>557</v>
      </c>
      <c r="L198" s="3">
        <v>29.4</v>
      </c>
      <c r="M198" s="3">
        <v>30.87</v>
      </c>
      <c r="N198" s="3">
        <v>64.99</v>
      </c>
      <c r="O198" s="2" t="s">
        <v>368</v>
      </c>
      <c r="P198" s="2" t="s">
        <v>215</v>
      </c>
      <c r="Q198" s="2" t="s">
        <v>97</v>
      </c>
      <c r="R198" s="2" t="s">
        <v>98</v>
      </c>
      <c r="S198" s="2" t="s">
        <v>843</v>
      </c>
      <c r="T198" s="2" t="s">
        <v>844</v>
      </c>
      <c r="U198" s="2" t="s">
        <v>100</v>
      </c>
      <c r="V198" s="2" t="s">
        <v>101</v>
      </c>
      <c r="W198" s="2" t="s">
        <v>567</v>
      </c>
      <c r="X198" s="2" t="s">
        <v>98</v>
      </c>
      <c r="Y198" s="2" t="s">
        <v>845</v>
      </c>
      <c r="Z198" s="4"/>
      <c r="AA198" s="4">
        <f>=ROUNDDOWN({0},0)</f>
      </c>
      <c r="AB198" s="5">
        <v>12</v>
      </c>
      <c r="AC198" s="2" t="s">
        <v>98</v>
      </c>
      <c r="AD198" s="4"/>
      <c r="AE198" s="4"/>
      <c r="AF198" s="6">
        <v>72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114</v>
      </c>
      <c r="AQ198" s="8">
        <v>1847.94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0.2425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266</v>
      </c>
      <c r="BK198" s="8">
        <v>6377.53</v>
      </c>
      <c r="BL198" s="2" t="s">
        <v>846</v>
      </c>
      <c r="BM198" s="7">
        <v>0.4286</v>
      </c>
      <c r="BN198" s="7">
        <v>0.2898</v>
      </c>
      <c r="BO198" s="4">
        <v>114</v>
      </c>
      <c r="BP198" s="8">
        <v>1847.94</v>
      </c>
      <c r="BQ198" s="4"/>
      <c r="BR198" s="8"/>
      <c r="BS198" s="7"/>
      <c r="BT198" s="7"/>
      <c r="BU198" s="2" t="s">
        <v>211</v>
      </c>
      <c r="BV198" s="2" t="s">
        <v>352</v>
      </c>
      <c r="BW198" s="2" t="s">
        <v>601</v>
      </c>
      <c r="BX198" s="2" t="s">
        <v>852</v>
      </c>
      <c r="BY198" s="2" t="s">
        <v>354</v>
      </c>
    </row>
    <row r="199">
      <c r="A199" s="2" t="s">
        <v>853</v>
      </c>
      <c r="B199" s="2" t="s">
        <v>86</v>
      </c>
      <c r="C199" s="2" t="s">
        <v>87</v>
      </c>
      <c r="D199" s="2" t="s">
        <v>88</v>
      </c>
      <c r="E199" s="2" t="s">
        <v>837</v>
      </c>
      <c r="F199" s="2" t="s">
        <v>838</v>
      </c>
      <c r="G199" s="2" t="s">
        <v>839</v>
      </c>
      <c r="H199" s="2" t="s">
        <v>840</v>
      </c>
      <c r="I199" s="2" t="s">
        <v>841</v>
      </c>
      <c r="J199" s="2" t="s">
        <v>854</v>
      </c>
      <c r="K199" s="2" t="s">
        <v>557</v>
      </c>
      <c r="L199" s="3">
        <v>31.35</v>
      </c>
      <c r="M199" s="3">
        <v>32.92</v>
      </c>
      <c r="N199" s="3">
        <v>69.99</v>
      </c>
      <c r="O199" s="2" t="s">
        <v>241</v>
      </c>
      <c r="P199" s="2" t="s">
        <v>215</v>
      </c>
      <c r="Q199" s="2" t="s">
        <v>97</v>
      </c>
      <c r="R199" s="2" t="s">
        <v>98</v>
      </c>
      <c r="S199" s="2" t="s">
        <v>843</v>
      </c>
      <c r="T199" s="2" t="s">
        <v>844</v>
      </c>
      <c r="U199" s="2" t="s">
        <v>100</v>
      </c>
      <c r="V199" s="2" t="s">
        <v>101</v>
      </c>
      <c r="W199" s="2" t="s">
        <v>567</v>
      </c>
      <c r="X199" s="2" t="s">
        <v>98</v>
      </c>
      <c r="Y199" s="2" t="s">
        <v>845</v>
      </c>
      <c r="Z199" s="4"/>
      <c r="AA199" s="4">
        <f>=ROUNDDOWN({0},0)</f>
      </c>
      <c r="AB199" s="5">
        <v>4</v>
      </c>
      <c r="AC199" s="2" t="s">
        <v>98</v>
      </c>
      <c r="AD199" s="4"/>
      <c r="AE199" s="4"/>
      <c r="AF199" s="6">
        <v>72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114</v>
      </c>
      <c r="AQ199" s="8">
        <v>1969.92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0.2586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243</v>
      </c>
      <c r="BK199" s="8">
        <v>5956.99</v>
      </c>
      <c r="BL199" s="2" t="s">
        <v>855</v>
      </c>
      <c r="BM199" s="7">
        <v>0.4691</v>
      </c>
      <c r="BN199" s="7">
        <v>0.3307</v>
      </c>
      <c r="BO199" s="4">
        <v>114</v>
      </c>
      <c r="BP199" s="8">
        <v>1969.92</v>
      </c>
      <c r="BQ199" s="4"/>
      <c r="BR199" s="8"/>
      <c r="BS199" s="7"/>
      <c r="BT199" s="7"/>
      <c r="BU199" s="2" t="s">
        <v>211</v>
      </c>
      <c r="BV199" s="2" t="s">
        <v>352</v>
      </c>
      <c r="BW199" s="2" t="s">
        <v>601</v>
      </c>
      <c r="BX199" s="2" t="s">
        <v>856</v>
      </c>
      <c r="BY199" s="2" t="s">
        <v>354</v>
      </c>
    </row>
    <row r="200">
      <c r="A200" s="2" t="s">
        <v>857</v>
      </c>
      <c r="B200" s="2" t="s">
        <v>86</v>
      </c>
      <c r="C200" s="2" t="s">
        <v>87</v>
      </c>
      <c r="D200" s="2" t="s">
        <v>88</v>
      </c>
      <c r="E200" s="2" t="s">
        <v>837</v>
      </c>
      <c r="F200" s="2" t="s">
        <v>838</v>
      </c>
      <c r="G200" s="2" t="s">
        <v>839</v>
      </c>
      <c r="H200" s="2" t="s">
        <v>840</v>
      </c>
      <c r="I200" s="2" t="s">
        <v>841</v>
      </c>
      <c r="J200" s="2" t="s">
        <v>858</v>
      </c>
      <c r="K200" s="2" t="s">
        <v>557</v>
      </c>
      <c r="L200" s="3">
        <v>33</v>
      </c>
      <c r="M200" s="3">
        <v>34.65</v>
      </c>
      <c r="N200" s="3">
        <v>79.99</v>
      </c>
      <c r="O200" s="2" t="s">
        <v>368</v>
      </c>
      <c r="P200" s="2" t="s">
        <v>215</v>
      </c>
      <c r="Q200" s="2" t="s">
        <v>97</v>
      </c>
      <c r="R200" s="2" t="s">
        <v>98</v>
      </c>
      <c r="S200" s="2" t="s">
        <v>843</v>
      </c>
      <c r="T200" s="2" t="s">
        <v>844</v>
      </c>
      <c r="U200" s="2" t="s">
        <v>100</v>
      </c>
      <c r="V200" s="2" t="s">
        <v>101</v>
      </c>
      <c r="W200" s="2" t="s">
        <v>567</v>
      </c>
      <c r="X200" s="2" t="s">
        <v>98</v>
      </c>
      <c r="Y200" s="2" t="s">
        <v>845</v>
      </c>
      <c r="Z200" s="4"/>
      <c r="AA200" s="4">
        <f>=ROUNDDOWN({0},0)</f>
      </c>
      <c r="AB200" s="5">
        <v>3.3</v>
      </c>
      <c r="AC200" s="2" t="s">
        <v>98</v>
      </c>
      <c r="AD200" s="4"/>
      <c r="AE200" s="4"/>
      <c r="AF200" s="6">
        <v>72</v>
      </c>
      <c r="AG200" s="6"/>
      <c r="AH200" s="7">
        <v>0.2556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9</v>
      </c>
      <c r="AQ200" s="8">
        <v>212.85</v>
      </c>
      <c r="AR200" s="4"/>
      <c r="AS200" s="8"/>
      <c r="AT200" s="7"/>
      <c r="AU200" s="7"/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0.0279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42</v>
      </c>
      <c r="BK200" s="8">
        <v>1225.18</v>
      </c>
      <c r="BL200" s="2" t="s">
        <v>859</v>
      </c>
      <c r="BM200" s="7">
        <v>0.2143</v>
      </c>
      <c r="BN200" s="7">
        <v>0.1737</v>
      </c>
      <c r="BO200" s="4">
        <v>9</v>
      </c>
      <c r="BP200" s="8">
        <v>212.85</v>
      </c>
      <c r="BQ200" s="4"/>
      <c r="BR200" s="8"/>
      <c r="BS200" s="7"/>
      <c r="BT200" s="7"/>
      <c r="BU200" s="2" t="s">
        <v>211</v>
      </c>
      <c r="BV200" s="2" t="s">
        <v>352</v>
      </c>
      <c r="BW200" s="2" t="s">
        <v>601</v>
      </c>
      <c r="BX200" s="2" t="s">
        <v>856</v>
      </c>
      <c r="BY200" s="2" t="s">
        <v>354</v>
      </c>
    </row>
    <row r="201">
      <c r="A201" s="2" t="s">
        <v>860</v>
      </c>
      <c r="B201" s="2" t="s">
        <v>86</v>
      </c>
      <c r="C201" s="2" t="s">
        <v>87</v>
      </c>
      <c r="D201" s="2" t="s">
        <v>88</v>
      </c>
      <c r="E201" s="2" t="s">
        <v>837</v>
      </c>
      <c r="F201" s="2" t="s">
        <v>838</v>
      </c>
      <c r="G201" s="2" t="s">
        <v>839</v>
      </c>
      <c r="H201" s="2" t="s">
        <v>840</v>
      </c>
      <c r="I201" s="2" t="s">
        <v>841</v>
      </c>
      <c r="J201" s="2" t="s">
        <v>842</v>
      </c>
      <c r="K201" s="2" t="s">
        <v>94</v>
      </c>
      <c r="L201" s="3">
        <v>25.85</v>
      </c>
      <c r="M201" s="3">
        <v>27.14</v>
      </c>
      <c r="N201" s="3">
        <v>54.99</v>
      </c>
      <c r="O201" s="2" t="s">
        <v>95</v>
      </c>
      <c r="P201" s="2" t="s">
        <v>215</v>
      </c>
      <c r="Q201" s="2" t="s">
        <v>97</v>
      </c>
      <c r="R201" s="2" t="s">
        <v>98</v>
      </c>
      <c r="S201" s="2" t="s">
        <v>861</v>
      </c>
      <c r="T201" s="2" t="s">
        <v>844</v>
      </c>
      <c r="U201" s="2" t="s">
        <v>100</v>
      </c>
      <c r="V201" s="2" t="s">
        <v>101</v>
      </c>
      <c r="W201" s="2" t="s">
        <v>567</v>
      </c>
      <c r="X201" s="2" t="s">
        <v>98</v>
      </c>
      <c r="Y201" s="2" t="s">
        <v>845</v>
      </c>
      <c r="Z201" s="4">
        <v>72</v>
      </c>
      <c r="AA201" s="4">
        <f>=ROUNDDOWN(5.14285714285714,0)</f>
      </c>
      <c r="AB201" s="5">
        <v>14</v>
      </c>
      <c r="AC201" s="2" t="s">
        <v>98</v>
      </c>
      <c r="AD201" s="4"/>
      <c r="AE201" s="4"/>
      <c r="AF201" s="6">
        <v>72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38</v>
      </c>
      <c r="AQ201" s="8">
        <v>541.5</v>
      </c>
      <c r="AR201" s="4"/>
      <c r="AS201" s="8"/>
      <c r="AT201" s="7"/>
      <c r="AU201" s="7"/>
      <c r="AV201" s="4">
        <v>189</v>
      </c>
      <c r="AW201" s="8">
        <v>3125.05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0.1733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0.2909</v>
      </c>
      <c r="BJ201" s="4">
        <v>76</v>
      </c>
      <c r="BK201" s="8">
        <v>1471.41</v>
      </c>
      <c r="BL201" s="2" t="s">
        <v>855</v>
      </c>
      <c r="BM201" s="7">
        <v>0.5</v>
      </c>
      <c r="BN201" s="7">
        <v>0.368</v>
      </c>
      <c r="BO201" s="4">
        <v>38</v>
      </c>
      <c r="BP201" s="8">
        <v>541.5</v>
      </c>
      <c r="BQ201" s="4"/>
      <c r="BR201" s="8"/>
      <c r="BS201" s="7"/>
      <c r="BT201" s="7"/>
      <c r="BU201" s="2" t="s">
        <v>211</v>
      </c>
      <c r="BV201" s="2" t="s">
        <v>95</v>
      </c>
      <c r="BW201" s="2" t="s">
        <v>601</v>
      </c>
      <c r="BX201" s="2" t="s">
        <v>862</v>
      </c>
      <c r="BY201" s="2" t="s">
        <v>354</v>
      </c>
    </row>
    <row r="202">
      <c r="A202" s="2" t="s">
        <v>863</v>
      </c>
      <c r="B202" s="2" t="s">
        <v>86</v>
      </c>
      <c r="C202" s="2" t="s">
        <v>87</v>
      </c>
      <c r="D202" s="2" t="s">
        <v>88</v>
      </c>
      <c r="E202" s="2" t="s">
        <v>837</v>
      </c>
      <c r="F202" s="2" t="s">
        <v>838</v>
      </c>
      <c r="G202" s="2" t="s">
        <v>839</v>
      </c>
      <c r="H202" s="2" t="s">
        <v>840</v>
      </c>
      <c r="I202" s="2" t="s">
        <v>841</v>
      </c>
      <c r="J202" s="2" t="s">
        <v>848</v>
      </c>
      <c r="K202" s="2" t="s">
        <v>94</v>
      </c>
      <c r="L202" s="3">
        <v>27.85</v>
      </c>
      <c r="M202" s="3">
        <v>29.24</v>
      </c>
      <c r="N202" s="3">
        <v>59.99</v>
      </c>
      <c r="O202" s="2" t="s">
        <v>95</v>
      </c>
      <c r="P202" s="2" t="s">
        <v>215</v>
      </c>
      <c r="Q202" s="2" t="s">
        <v>97</v>
      </c>
      <c r="R202" s="2" t="s">
        <v>98</v>
      </c>
      <c r="S202" s="2" t="s">
        <v>861</v>
      </c>
      <c r="T202" s="2" t="s">
        <v>844</v>
      </c>
      <c r="U202" s="2" t="s">
        <v>100</v>
      </c>
      <c r="V202" s="2" t="s">
        <v>101</v>
      </c>
      <c r="W202" s="2" t="s">
        <v>567</v>
      </c>
      <c r="X202" s="2" t="s">
        <v>98</v>
      </c>
      <c r="Y202" s="2" t="s">
        <v>845</v>
      </c>
      <c r="Z202" s="4">
        <v>87</v>
      </c>
      <c r="AA202" s="4">
        <f>=ROUNDDOWN(7.3728813559322,0)</f>
      </c>
      <c r="AB202" s="5">
        <v>11.8</v>
      </c>
      <c r="AC202" s="2" t="s">
        <v>98</v>
      </c>
      <c r="AD202" s="4"/>
      <c r="AE202" s="4"/>
      <c r="AF202" s="6">
        <v>72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21</v>
      </c>
      <c r="AQ202" s="8">
        <v>322.35</v>
      </c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0.1032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63</v>
      </c>
      <c r="BK202" s="8">
        <v>1360.03</v>
      </c>
      <c r="BL202" s="2" t="s">
        <v>864</v>
      </c>
      <c r="BM202" s="7">
        <v>0.3333</v>
      </c>
      <c r="BN202" s="7">
        <v>0.237</v>
      </c>
      <c r="BO202" s="4">
        <v>21</v>
      </c>
      <c r="BP202" s="8">
        <v>322.35</v>
      </c>
      <c r="BQ202" s="4"/>
      <c r="BR202" s="8"/>
      <c r="BS202" s="7"/>
      <c r="BT202" s="7"/>
      <c r="BU202" s="2" t="s">
        <v>211</v>
      </c>
      <c r="BV202" s="2" t="s">
        <v>95</v>
      </c>
      <c r="BW202" s="2" t="s">
        <v>601</v>
      </c>
      <c r="BX202" s="2" t="s">
        <v>865</v>
      </c>
      <c r="BY202" s="2" t="s">
        <v>354</v>
      </c>
    </row>
    <row r="203">
      <c r="A203" s="2" t="s">
        <v>866</v>
      </c>
      <c r="B203" s="2" t="s">
        <v>86</v>
      </c>
      <c r="C203" s="2" t="s">
        <v>87</v>
      </c>
      <c r="D203" s="2" t="s">
        <v>88</v>
      </c>
      <c r="E203" s="2" t="s">
        <v>837</v>
      </c>
      <c r="F203" s="2" t="s">
        <v>838</v>
      </c>
      <c r="G203" s="2" t="s">
        <v>839</v>
      </c>
      <c r="H203" s="2" t="s">
        <v>840</v>
      </c>
      <c r="I203" s="2" t="s">
        <v>841</v>
      </c>
      <c r="J203" s="2" t="s">
        <v>851</v>
      </c>
      <c r="K203" s="2" t="s">
        <v>94</v>
      </c>
      <c r="L203" s="3">
        <v>29.4</v>
      </c>
      <c r="M203" s="3">
        <v>30.87</v>
      </c>
      <c r="N203" s="3">
        <v>64.99</v>
      </c>
      <c r="O203" s="2" t="s">
        <v>241</v>
      </c>
      <c r="P203" s="2" t="s">
        <v>215</v>
      </c>
      <c r="Q203" s="2" t="s">
        <v>97</v>
      </c>
      <c r="R203" s="2" t="s">
        <v>98</v>
      </c>
      <c r="S203" s="2" t="s">
        <v>861</v>
      </c>
      <c r="T203" s="2" t="s">
        <v>844</v>
      </c>
      <c r="U203" s="2" t="s">
        <v>100</v>
      </c>
      <c r="V203" s="2" t="s">
        <v>101</v>
      </c>
      <c r="W203" s="2" t="s">
        <v>567</v>
      </c>
      <c r="X203" s="2" t="s">
        <v>98</v>
      </c>
      <c r="Y203" s="2" t="s">
        <v>845</v>
      </c>
      <c r="Z203" s="4"/>
      <c r="AA203" s="4">
        <f>=ROUNDDOWN({0},0)</f>
      </c>
      <c r="AB203" s="5">
        <v>4</v>
      </c>
      <c r="AC203" s="2" t="s">
        <v>98</v>
      </c>
      <c r="AD203" s="4"/>
      <c r="AE203" s="4"/>
      <c r="AF203" s="6">
        <v>72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44</v>
      </c>
      <c r="AQ203" s="8">
        <v>713.24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0.2282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109</v>
      </c>
      <c r="BK203" s="8">
        <v>2310.38</v>
      </c>
      <c r="BL203" s="2" t="s">
        <v>846</v>
      </c>
      <c r="BM203" s="7">
        <v>0.4037</v>
      </c>
      <c r="BN203" s="7">
        <v>0.3087</v>
      </c>
      <c r="BO203" s="4">
        <v>44</v>
      </c>
      <c r="BP203" s="8">
        <v>713.24</v>
      </c>
      <c r="BQ203" s="4"/>
      <c r="BR203" s="8"/>
      <c r="BS203" s="7"/>
      <c r="BT203" s="7"/>
      <c r="BU203" s="2" t="s">
        <v>211</v>
      </c>
      <c r="BV203" s="2" t="s">
        <v>352</v>
      </c>
      <c r="BW203" s="2" t="s">
        <v>601</v>
      </c>
      <c r="BX203" s="2" t="s">
        <v>856</v>
      </c>
      <c r="BY203" s="2" t="s">
        <v>354</v>
      </c>
    </row>
    <row r="204">
      <c r="A204" s="2" t="s">
        <v>867</v>
      </c>
      <c r="B204" s="2" t="s">
        <v>86</v>
      </c>
      <c r="C204" s="2" t="s">
        <v>87</v>
      </c>
      <c r="D204" s="2" t="s">
        <v>88</v>
      </c>
      <c r="E204" s="2" t="s">
        <v>837</v>
      </c>
      <c r="F204" s="2" t="s">
        <v>838</v>
      </c>
      <c r="G204" s="2" t="s">
        <v>839</v>
      </c>
      <c r="H204" s="2" t="s">
        <v>840</v>
      </c>
      <c r="I204" s="2" t="s">
        <v>841</v>
      </c>
      <c r="J204" s="2" t="s">
        <v>854</v>
      </c>
      <c r="K204" s="2" t="s">
        <v>94</v>
      </c>
      <c r="L204" s="3">
        <v>31.35</v>
      </c>
      <c r="M204" s="3">
        <v>32.92</v>
      </c>
      <c r="N204" s="3">
        <v>69.99</v>
      </c>
      <c r="O204" s="2" t="s">
        <v>241</v>
      </c>
      <c r="P204" s="2" t="s">
        <v>215</v>
      </c>
      <c r="Q204" s="2" t="s">
        <v>97</v>
      </c>
      <c r="R204" s="2" t="s">
        <v>98</v>
      </c>
      <c r="S204" s="2" t="s">
        <v>861</v>
      </c>
      <c r="T204" s="2" t="s">
        <v>844</v>
      </c>
      <c r="U204" s="2" t="s">
        <v>100</v>
      </c>
      <c r="V204" s="2" t="s">
        <v>101</v>
      </c>
      <c r="W204" s="2" t="s">
        <v>567</v>
      </c>
      <c r="X204" s="2" t="s">
        <v>98</v>
      </c>
      <c r="Y204" s="2" t="s">
        <v>845</v>
      </c>
      <c r="Z204" s="4">
        <v>361</v>
      </c>
      <c r="AA204" s="4">
        <f>=ROUNDDOWN(90.25,0)</f>
      </c>
      <c r="AB204" s="5">
        <v>4</v>
      </c>
      <c r="AC204" s="2" t="s">
        <v>98</v>
      </c>
      <c r="AD204" s="4"/>
      <c r="AE204" s="4"/>
      <c r="AF204" s="6">
        <v>72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18</v>
      </c>
      <c r="AQ204" s="8">
        <v>311.04</v>
      </c>
      <c r="AR204" s="4"/>
      <c r="AS204" s="8"/>
      <c r="AT204" s="7"/>
      <c r="AU204" s="7"/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0.0995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24</v>
      </c>
      <c r="BK204" s="8">
        <v>490.13</v>
      </c>
      <c r="BL204" s="2" t="s">
        <v>868</v>
      </c>
      <c r="BM204" s="7">
        <v>0.75</v>
      </c>
      <c r="BN204" s="7">
        <v>0.6346</v>
      </c>
      <c r="BO204" s="4">
        <v>18</v>
      </c>
      <c r="BP204" s="8">
        <v>311.04</v>
      </c>
      <c r="BQ204" s="4"/>
      <c r="BR204" s="8"/>
      <c r="BS204" s="7"/>
      <c r="BT204" s="7"/>
      <c r="BU204" s="2" t="s">
        <v>211</v>
      </c>
      <c r="BV204" s="2" t="s">
        <v>95</v>
      </c>
      <c r="BW204" s="2" t="s">
        <v>601</v>
      </c>
      <c r="BX204" s="2" t="s">
        <v>869</v>
      </c>
      <c r="BY204" s="2" t="s">
        <v>354</v>
      </c>
    </row>
    <row r="205">
      <c r="A205" s="2" t="s">
        <v>870</v>
      </c>
      <c r="B205" s="2" t="s">
        <v>86</v>
      </c>
      <c r="C205" s="2" t="s">
        <v>87</v>
      </c>
      <c r="D205" s="2" t="s">
        <v>88</v>
      </c>
      <c r="E205" s="2" t="s">
        <v>837</v>
      </c>
      <c r="F205" s="2" t="s">
        <v>838</v>
      </c>
      <c r="G205" s="2" t="s">
        <v>839</v>
      </c>
      <c r="H205" s="2" t="s">
        <v>840</v>
      </c>
      <c r="I205" s="2" t="s">
        <v>841</v>
      </c>
      <c r="J205" s="2" t="s">
        <v>858</v>
      </c>
      <c r="K205" s="2" t="s">
        <v>94</v>
      </c>
      <c r="L205" s="3">
        <v>33</v>
      </c>
      <c r="M205" s="3">
        <v>34.65</v>
      </c>
      <c r="N205" s="3">
        <v>79.99</v>
      </c>
      <c r="O205" s="2" t="s">
        <v>368</v>
      </c>
      <c r="P205" s="2" t="s">
        <v>215</v>
      </c>
      <c r="Q205" s="2" t="s">
        <v>97</v>
      </c>
      <c r="R205" s="2" t="s">
        <v>98</v>
      </c>
      <c r="S205" s="2" t="s">
        <v>861</v>
      </c>
      <c r="T205" s="2" t="s">
        <v>844</v>
      </c>
      <c r="U205" s="2" t="s">
        <v>100</v>
      </c>
      <c r="V205" s="2" t="s">
        <v>101</v>
      </c>
      <c r="W205" s="2" t="s">
        <v>567</v>
      </c>
      <c r="X205" s="2" t="s">
        <v>98</v>
      </c>
      <c r="Y205" s="2" t="s">
        <v>845</v>
      </c>
      <c r="Z205" s="4"/>
      <c r="AA205" s="4">
        <f>=ROUNDDOWN({0},0)</f>
      </c>
      <c r="AB205" s="5">
        <v>4</v>
      </c>
      <c r="AC205" s="2" t="s">
        <v>98</v>
      </c>
      <c r="AD205" s="4"/>
      <c r="AE205" s="4"/>
      <c r="AF205" s="6">
        <v>72</v>
      </c>
      <c r="AG205" s="6"/>
      <c r="AH205" s="7">
        <v>0.9444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68</v>
      </c>
      <c r="AQ205" s="8">
        <v>1236.92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0.3958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129</v>
      </c>
      <c r="BK205" s="8">
        <v>2850.94</v>
      </c>
      <c r="BL205" s="2" t="s">
        <v>855</v>
      </c>
      <c r="BM205" s="7">
        <v>0.5271</v>
      </c>
      <c r="BN205" s="7">
        <v>0.4339</v>
      </c>
      <c r="BO205" s="4">
        <v>68</v>
      </c>
      <c r="BP205" s="8">
        <v>1236.92</v>
      </c>
      <c r="BQ205" s="4"/>
      <c r="BR205" s="8"/>
      <c r="BS205" s="7"/>
      <c r="BT205" s="7"/>
      <c r="BU205" s="2" t="s">
        <v>211</v>
      </c>
      <c r="BV205" s="2" t="s">
        <v>352</v>
      </c>
      <c r="BW205" s="2" t="s">
        <v>601</v>
      </c>
      <c r="BX205" s="2" t="s">
        <v>602</v>
      </c>
      <c r="BY205" s="2" t="s">
        <v>354</v>
      </c>
    </row>
    <row r="206">
      <c r="A206" s="2" t="s">
        <v>871</v>
      </c>
      <c r="B206" s="2" t="s">
        <v>86</v>
      </c>
      <c r="C206" s="2" t="s">
        <v>87</v>
      </c>
      <c r="D206" s="2" t="s">
        <v>88</v>
      </c>
      <c r="E206" s="2" t="s">
        <v>837</v>
      </c>
      <c r="F206" s="2" t="s">
        <v>872</v>
      </c>
      <c r="G206" s="2" t="s">
        <v>873</v>
      </c>
      <c r="H206" s="2" t="s">
        <v>874</v>
      </c>
      <c r="I206" s="2" t="s">
        <v>875</v>
      </c>
      <c r="J206" s="2" t="s">
        <v>876</v>
      </c>
      <c r="K206" s="2" t="s">
        <v>400</v>
      </c>
      <c r="L206" s="3">
        <v>23.75</v>
      </c>
      <c r="M206" s="3">
        <v>24.94</v>
      </c>
      <c r="N206" s="3">
        <v>53.99</v>
      </c>
      <c r="O206" s="2" t="s">
        <v>95</v>
      </c>
      <c r="P206" s="2" t="s">
        <v>123</v>
      </c>
      <c r="Q206" s="2" t="s">
        <v>97</v>
      </c>
      <c r="R206" s="2" t="s">
        <v>98</v>
      </c>
      <c r="S206" s="2" t="s">
        <v>877</v>
      </c>
      <c r="T206" s="2" t="s">
        <v>878</v>
      </c>
      <c r="U206" s="2" t="s">
        <v>100</v>
      </c>
      <c r="V206" s="2" t="s">
        <v>101</v>
      </c>
      <c r="W206" s="2" t="s">
        <v>567</v>
      </c>
      <c r="X206" s="2" t="s">
        <v>98</v>
      </c>
      <c r="Y206" s="2" t="s">
        <v>879</v>
      </c>
      <c r="Z206" s="4">
        <v>687</v>
      </c>
      <c r="AA206" s="4">
        <f>=ROUNDDOWN(27.48,0)</f>
      </c>
      <c r="AB206" s="5">
        <v>25</v>
      </c>
      <c r="AC206" s="2" t="s">
        <v>250</v>
      </c>
      <c r="AD206" s="4">
        <v>276</v>
      </c>
      <c r="AE206" s="4">
        <v>480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11</v>
      </c>
      <c r="AQ206" s="8">
        <v>287.98</v>
      </c>
      <c r="AR206" s="4"/>
      <c r="AS206" s="8"/>
      <c r="AT206" s="7"/>
      <c r="AU206" s="7"/>
      <c r="AV206" s="4">
        <v>99</v>
      </c>
      <c r="AW206" s="8">
        <v>3530.05</v>
      </c>
      <c r="AX206" s="4">
        <v>58</v>
      </c>
      <c r="AY206" s="8">
        <v>1650.04</v>
      </c>
      <c r="AZ206" s="7">
        <v>0.7069</v>
      </c>
      <c r="BA206" s="7">
        <v>1.1394</v>
      </c>
      <c r="BB206" s="7">
        <v>0.0816</v>
      </c>
      <c r="BC206" s="4">
        <v>185</v>
      </c>
      <c r="BD206" s="8">
        <v>6773.92</v>
      </c>
      <c r="BE206" s="4">
        <v>199</v>
      </c>
      <c r="BF206" s="8">
        <v>5762.58</v>
      </c>
      <c r="BG206" s="7">
        <v>-0.0704</v>
      </c>
      <c r="BH206" s="7">
        <v>0.1755</v>
      </c>
      <c r="BI206" s="7">
        <v>0.5211</v>
      </c>
      <c r="BJ206" s="4">
        <v>442</v>
      </c>
      <c r="BK206" s="8">
        <v>11596.03</v>
      </c>
      <c r="BL206" s="2" t="s">
        <v>880</v>
      </c>
      <c r="BM206" s="7">
        <v>0.0249</v>
      </c>
      <c r="BN206" s="7">
        <v>0.0248</v>
      </c>
      <c r="BO206" s="4">
        <v>11</v>
      </c>
      <c r="BP206" s="8">
        <v>287.98</v>
      </c>
      <c r="BQ206" s="4"/>
      <c r="BR206" s="8"/>
      <c r="BS206" s="7"/>
      <c r="BT206" s="7"/>
      <c r="BU206" s="2" t="s">
        <v>107</v>
      </c>
      <c r="BV206" s="2" t="s">
        <v>108</v>
      </c>
      <c r="BW206" s="2" t="s">
        <v>546</v>
      </c>
      <c r="BX206" s="2" t="s">
        <v>881</v>
      </c>
      <c r="BY206" s="2" t="s">
        <v>111</v>
      </c>
    </row>
    <row r="207">
      <c r="A207" s="2" t="s">
        <v>882</v>
      </c>
      <c r="B207" s="2" t="s">
        <v>86</v>
      </c>
      <c r="C207" s="2" t="s">
        <v>87</v>
      </c>
      <c r="D207" s="2" t="s">
        <v>88</v>
      </c>
      <c r="E207" s="2" t="s">
        <v>837</v>
      </c>
      <c r="F207" s="2" t="s">
        <v>872</v>
      </c>
      <c r="G207" s="2" t="s">
        <v>873</v>
      </c>
      <c r="H207" s="2" t="s">
        <v>874</v>
      </c>
      <c r="I207" s="2" t="s">
        <v>875</v>
      </c>
      <c r="J207" s="2" t="s">
        <v>842</v>
      </c>
      <c r="K207" s="2" t="s">
        <v>400</v>
      </c>
      <c r="L207" s="3">
        <v>27</v>
      </c>
      <c r="M207" s="3">
        <v>28.35</v>
      </c>
      <c r="N207" s="3">
        <v>59.99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877</v>
      </c>
      <c r="T207" s="2" t="s">
        <v>878</v>
      </c>
      <c r="U207" s="2" t="s">
        <v>100</v>
      </c>
      <c r="V207" s="2" t="s">
        <v>101</v>
      </c>
      <c r="W207" s="2" t="s">
        <v>567</v>
      </c>
      <c r="X207" s="2" t="s">
        <v>98</v>
      </c>
      <c r="Y207" s="2" t="s">
        <v>883</v>
      </c>
      <c r="Z207" s="4">
        <v>971</v>
      </c>
      <c r="AA207" s="4">
        <f>=ROUNDDOWN(17.0350877192982,0)</f>
      </c>
      <c r="AB207" s="5">
        <v>57</v>
      </c>
      <c r="AC207" s="2" t="s">
        <v>250</v>
      </c>
      <c r="AD207" s="4">
        <v>426</v>
      </c>
      <c r="AE207" s="4">
        <v>1416</v>
      </c>
      <c r="AF207" s="6">
        <v>65</v>
      </c>
      <c r="AG207" s="6"/>
      <c r="AH207" s="7">
        <v>1</v>
      </c>
      <c r="AI207" s="4">
        <v>1</v>
      </c>
      <c r="AJ207" s="4">
        <f>=ROUNDDOWN(1.42857142857143,0)</f>
      </c>
      <c r="AK207" s="5">
        <v>0.7</v>
      </c>
      <c r="AL207" s="2" t="s">
        <v>98</v>
      </c>
      <c r="AM207" s="4"/>
      <c r="AN207" s="4"/>
      <c r="AO207" s="7">
        <v>1</v>
      </c>
      <c r="AP207" s="4">
        <v>7</v>
      </c>
      <c r="AQ207" s="8">
        <v>226.8</v>
      </c>
      <c r="AR207" s="4">
        <v>26</v>
      </c>
      <c r="AS207" s="8">
        <v>647.66</v>
      </c>
      <c r="AT207" s="7">
        <v>-0.7308</v>
      </c>
      <c r="AU207" s="7">
        <v>-0.6498</v>
      </c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0.0642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558</v>
      </c>
      <c r="BK207" s="8">
        <v>16530.75</v>
      </c>
      <c r="BL207" s="2" t="s">
        <v>884</v>
      </c>
      <c r="BM207" s="7">
        <v>0.0125</v>
      </c>
      <c r="BN207" s="7">
        <v>0.0137</v>
      </c>
      <c r="BO207" s="4">
        <v>7</v>
      </c>
      <c r="BP207" s="8">
        <v>226.8</v>
      </c>
      <c r="BQ207" s="4">
        <v>26</v>
      </c>
      <c r="BR207" s="8">
        <v>647.66</v>
      </c>
      <c r="BS207" s="7">
        <v>-0.7308</v>
      </c>
      <c r="BT207" s="7">
        <v>-0.6498</v>
      </c>
      <c r="BU207" s="2" t="s">
        <v>107</v>
      </c>
      <c r="BV207" s="2" t="s">
        <v>108</v>
      </c>
      <c r="BW207" s="2" t="s">
        <v>885</v>
      </c>
      <c r="BX207" s="2" t="s">
        <v>886</v>
      </c>
      <c r="BY207" s="2" t="s">
        <v>111</v>
      </c>
    </row>
    <row r="208">
      <c r="A208" s="2" t="s">
        <v>887</v>
      </c>
      <c r="B208" s="2" t="s">
        <v>86</v>
      </c>
      <c r="C208" s="2" t="s">
        <v>87</v>
      </c>
      <c r="D208" s="2" t="s">
        <v>88</v>
      </c>
      <c r="E208" s="2" t="s">
        <v>837</v>
      </c>
      <c r="F208" s="2" t="s">
        <v>872</v>
      </c>
      <c r="G208" s="2" t="s">
        <v>873</v>
      </c>
      <c r="H208" s="2" t="s">
        <v>874</v>
      </c>
      <c r="I208" s="2" t="s">
        <v>875</v>
      </c>
      <c r="J208" s="2" t="s">
        <v>848</v>
      </c>
      <c r="K208" s="2" t="s">
        <v>400</v>
      </c>
      <c r="L208" s="3">
        <v>28.5</v>
      </c>
      <c r="M208" s="3">
        <v>29.93</v>
      </c>
      <c r="N208" s="3">
        <v>62.99</v>
      </c>
      <c r="O208" s="2" t="s">
        <v>95</v>
      </c>
      <c r="P208" s="2" t="s">
        <v>123</v>
      </c>
      <c r="Q208" s="2" t="s">
        <v>97</v>
      </c>
      <c r="R208" s="2" t="s">
        <v>98</v>
      </c>
      <c r="S208" s="2" t="s">
        <v>877</v>
      </c>
      <c r="T208" s="2" t="s">
        <v>878</v>
      </c>
      <c r="U208" s="2" t="s">
        <v>100</v>
      </c>
      <c r="V208" s="2" t="s">
        <v>101</v>
      </c>
      <c r="W208" s="2" t="s">
        <v>567</v>
      </c>
      <c r="X208" s="2" t="s">
        <v>98</v>
      </c>
      <c r="Y208" s="2" t="s">
        <v>879</v>
      </c>
      <c r="Z208" s="4">
        <v>652</v>
      </c>
      <c r="AA208" s="4">
        <f>=ROUNDDOWN(15.1627906976744,0)</f>
      </c>
      <c r="AB208" s="5">
        <v>43</v>
      </c>
      <c r="AC208" s="2" t="s">
        <v>250</v>
      </c>
      <c r="AD208" s="4">
        <v>312</v>
      </c>
      <c r="AE208" s="4">
        <v>1326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582</v>
      </c>
      <c r="BK208" s="8">
        <v>18249.06</v>
      </c>
      <c r="BL208" s="2" t="s">
        <v>888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108</v>
      </c>
      <c r="BW208" s="2" t="s">
        <v>546</v>
      </c>
      <c r="BX208" s="2" t="s">
        <v>889</v>
      </c>
      <c r="BY208" s="2" t="s">
        <v>111</v>
      </c>
    </row>
    <row r="209">
      <c r="A209" s="2" t="s">
        <v>890</v>
      </c>
      <c r="B209" s="2" t="s">
        <v>86</v>
      </c>
      <c r="C209" s="2" t="s">
        <v>87</v>
      </c>
      <c r="D209" s="2" t="s">
        <v>88</v>
      </c>
      <c r="E209" s="2" t="s">
        <v>837</v>
      </c>
      <c r="F209" s="2" t="s">
        <v>872</v>
      </c>
      <c r="G209" s="2" t="s">
        <v>873</v>
      </c>
      <c r="H209" s="2" t="s">
        <v>874</v>
      </c>
      <c r="I209" s="2" t="s">
        <v>875</v>
      </c>
      <c r="J209" s="2" t="s">
        <v>851</v>
      </c>
      <c r="K209" s="2" t="s">
        <v>400</v>
      </c>
      <c r="L209" s="3">
        <v>29.25</v>
      </c>
      <c r="M209" s="3">
        <v>30.71</v>
      </c>
      <c r="N209" s="3">
        <v>64.99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877</v>
      </c>
      <c r="T209" s="2" t="s">
        <v>878</v>
      </c>
      <c r="U209" s="2" t="s">
        <v>100</v>
      </c>
      <c r="V209" s="2" t="s">
        <v>101</v>
      </c>
      <c r="W209" s="2" t="s">
        <v>567</v>
      </c>
      <c r="X209" s="2" t="s">
        <v>98</v>
      </c>
      <c r="Y209" s="2" t="s">
        <v>883</v>
      </c>
      <c r="Z209" s="4">
        <v>1114</v>
      </c>
      <c r="AA209" s="4">
        <f>=ROUNDDOWN(14.8533333333333,0)</f>
      </c>
      <c r="AB209" s="5">
        <v>75</v>
      </c>
      <c r="AC209" s="2" t="s">
        <v>250</v>
      </c>
      <c r="AD209" s="4">
        <v>546</v>
      </c>
      <c r="AE209" s="4">
        <v>2268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42</v>
      </c>
      <c r="AQ209" s="8">
        <v>1474.2</v>
      </c>
      <c r="AR209" s="4">
        <v>9</v>
      </c>
      <c r="AS209" s="8">
        <v>241.11</v>
      </c>
      <c r="AT209" s="7">
        <v>3.6667</v>
      </c>
      <c r="AU209" s="7">
        <v>5.1142</v>
      </c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0.4176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720</v>
      </c>
      <c r="BK209" s="8">
        <v>23161.9</v>
      </c>
      <c r="BL209" s="2" t="s">
        <v>891</v>
      </c>
      <c r="BM209" s="7">
        <v>0.0583</v>
      </c>
      <c r="BN209" s="7">
        <v>0.0636</v>
      </c>
      <c r="BO209" s="4">
        <v>42</v>
      </c>
      <c r="BP209" s="8">
        <v>1474.2</v>
      </c>
      <c r="BQ209" s="4">
        <v>9</v>
      </c>
      <c r="BR209" s="8">
        <v>241.11</v>
      </c>
      <c r="BS209" s="7">
        <v>3.6667</v>
      </c>
      <c r="BT209" s="7">
        <v>5.1142</v>
      </c>
      <c r="BU209" s="2" t="s">
        <v>107</v>
      </c>
      <c r="BV209" s="2" t="s">
        <v>108</v>
      </c>
      <c r="BW209" s="2" t="s">
        <v>570</v>
      </c>
      <c r="BX209" s="2" t="s">
        <v>892</v>
      </c>
      <c r="BY209" s="2" t="s">
        <v>111</v>
      </c>
    </row>
    <row r="210">
      <c r="A210" s="2" t="s">
        <v>893</v>
      </c>
      <c r="B210" s="2" t="s">
        <v>86</v>
      </c>
      <c r="C210" s="2" t="s">
        <v>87</v>
      </c>
      <c r="D210" s="2" t="s">
        <v>88</v>
      </c>
      <c r="E210" s="2" t="s">
        <v>837</v>
      </c>
      <c r="F210" s="2" t="s">
        <v>872</v>
      </c>
      <c r="G210" s="2" t="s">
        <v>873</v>
      </c>
      <c r="H210" s="2" t="s">
        <v>874</v>
      </c>
      <c r="I210" s="2" t="s">
        <v>875</v>
      </c>
      <c r="J210" s="2" t="s">
        <v>854</v>
      </c>
      <c r="K210" s="2" t="s">
        <v>400</v>
      </c>
      <c r="L210" s="3">
        <v>32.2</v>
      </c>
      <c r="M210" s="3">
        <v>33.81</v>
      </c>
      <c r="N210" s="3">
        <v>69.99</v>
      </c>
      <c r="O210" s="2" t="s">
        <v>95</v>
      </c>
      <c r="P210" s="2" t="s">
        <v>123</v>
      </c>
      <c r="Q210" s="2" t="s">
        <v>97</v>
      </c>
      <c r="R210" s="2" t="s">
        <v>98</v>
      </c>
      <c r="S210" s="2" t="s">
        <v>877</v>
      </c>
      <c r="T210" s="2" t="s">
        <v>878</v>
      </c>
      <c r="U210" s="2" t="s">
        <v>100</v>
      </c>
      <c r="V210" s="2" t="s">
        <v>101</v>
      </c>
      <c r="W210" s="2" t="s">
        <v>567</v>
      </c>
      <c r="X210" s="2" t="s">
        <v>98</v>
      </c>
      <c r="Y210" s="2" t="s">
        <v>883</v>
      </c>
      <c r="Z210" s="4">
        <v>245</v>
      </c>
      <c r="AA210" s="4">
        <f>=ROUNDDOWN(5.56818181818182,0)</f>
      </c>
      <c r="AB210" s="5">
        <v>44</v>
      </c>
      <c r="AC210" s="2" t="s">
        <v>250</v>
      </c>
      <c r="AD210" s="4">
        <v>90</v>
      </c>
      <c r="AE210" s="4">
        <v>1398</v>
      </c>
      <c r="AF210" s="6">
        <v>65</v>
      </c>
      <c r="AG210" s="6"/>
      <c r="AH210" s="7">
        <v>1</v>
      </c>
      <c r="AI210" s="4"/>
      <c r="AJ210" s="4">
        <f>=ROUNDDOWN({0},0)</f>
      </c>
      <c r="AK210" s="5">
        <v>1.4</v>
      </c>
      <c r="AL210" s="2" t="s">
        <v>98</v>
      </c>
      <c r="AM210" s="4"/>
      <c r="AN210" s="4"/>
      <c r="AO210" s="7">
        <v>0.2222</v>
      </c>
      <c r="AP210" s="4">
        <v>22</v>
      </c>
      <c r="AQ210" s="8">
        <v>831.6</v>
      </c>
      <c r="AR210" s="4">
        <v>7</v>
      </c>
      <c r="AS210" s="8">
        <v>210.07</v>
      </c>
      <c r="AT210" s="7">
        <v>2.1429</v>
      </c>
      <c r="AU210" s="7">
        <v>2.9587</v>
      </c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0.2356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441</v>
      </c>
      <c r="BK210" s="8">
        <v>15654.69</v>
      </c>
      <c r="BL210" s="2" t="s">
        <v>495</v>
      </c>
      <c r="BM210" s="7">
        <v>0.0499</v>
      </c>
      <c r="BN210" s="7">
        <v>0.0531</v>
      </c>
      <c r="BO210" s="4">
        <v>22</v>
      </c>
      <c r="BP210" s="8">
        <v>831.6</v>
      </c>
      <c r="BQ210" s="4">
        <v>7</v>
      </c>
      <c r="BR210" s="8">
        <v>210.07</v>
      </c>
      <c r="BS210" s="7">
        <v>2.1429</v>
      </c>
      <c r="BT210" s="7">
        <v>2.9587</v>
      </c>
      <c r="BU210" s="2" t="s">
        <v>107</v>
      </c>
      <c r="BV210" s="2" t="s">
        <v>108</v>
      </c>
      <c r="BW210" s="2" t="s">
        <v>570</v>
      </c>
      <c r="BX210" s="2" t="s">
        <v>894</v>
      </c>
      <c r="BY210" s="2" t="s">
        <v>111</v>
      </c>
    </row>
    <row r="211">
      <c r="A211" s="2" t="s">
        <v>895</v>
      </c>
      <c r="B211" s="2" t="s">
        <v>86</v>
      </c>
      <c r="C211" s="2" t="s">
        <v>87</v>
      </c>
      <c r="D211" s="2" t="s">
        <v>88</v>
      </c>
      <c r="E211" s="2" t="s">
        <v>837</v>
      </c>
      <c r="F211" s="2" t="s">
        <v>872</v>
      </c>
      <c r="G211" s="2" t="s">
        <v>873</v>
      </c>
      <c r="H211" s="2" t="s">
        <v>874</v>
      </c>
      <c r="I211" s="2" t="s">
        <v>875</v>
      </c>
      <c r="J211" s="2" t="s">
        <v>896</v>
      </c>
      <c r="K211" s="2" t="s">
        <v>400</v>
      </c>
      <c r="L211" s="3">
        <v>33.5</v>
      </c>
      <c r="M211" s="3">
        <v>35.18</v>
      </c>
      <c r="N211" s="3">
        <v>74.99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877</v>
      </c>
      <c r="T211" s="2" t="s">
        <v>878</v>
      </c>
      <c r="U211" s="2" t="s">
        <v>100</v>
      </c>
      <c r="V211" s="2" t="s">
        <v>101</v>
      </c>
      <c r="W211" s="2" t="s">
        <v>567</v>
      </c>
      <c r="X211" s="2" t="s">
        <v>98</v>
      </c>
      <c r="Y211" s="2" t="s">
        <v>879</v>
      </c>
      <c r="Z211" s="4">
        <v>888</v>
      </c>
      <c r="AA211" s="4">
        <f>=ROUNDDOWN(20.6511627906977,0)</f>
      </c>
      <c r="AB211" s="5">
        <v>43</v>
      </c>
      <c r="AC211" s="2" t="s">
        <v>250</v>
      </c>
      <c r="AD211" s="4">
        <v>252</v>
      </c>
      <c r="AE211" s="4">
        <v>654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3</v>
      </c>
      <c r="AQ211" s="8">
        <v>110.79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0.0314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607</v>
      </c>
      <c r="BK211" s="8">
        <v>22627.56</v>
      </c>
      <c r="BL211" s="2" t="s">
        <v>897</v>
      </c>
      <c r="BM211" s="7">
        <v>0.0049</v>
      </c>
      <c r="BN211" s="7">
        <v>0.0049</v>
      </c>
      <c r="BO211" s="4">
        <v>3</v>
      </c>
      <c r="BP211" s="8">
        <v>110.79</v>
      </c>
      <c r="BQ211" s="4"/>
      <c r="BR211" s="8"/>
      <c r="BS211" s="7"/>
      <c r="BT211" s="7"/>
      <c r="BU211" s="2" t="s">
        <v>107</v>
      </c>
      <c r="BV211" s="2" t="s">
        <v>108</v>
      </c>
      <c r="BW211" s="2" t="s">
        <v>546</v>
      </c>
      <c r="BX211" s="2" t="s">
        <v>898</v>
      </c>
      <c r="BY211" s="2" t="s">
        <v>111</v>
      </c>
    </row>
    <row r="212">
      <c r="A212" s="2" t="s">
        <v>899</v>
      </c>
      <c r="B212" s="2" t="s">
        <v>86</v>
      </c>
      <c r="C212" s="2" t="s">
        <v>87</v>
      </c>
      <c r="D212" s="2" t="s">
        <v>88</v>
      </c>
      <c r="E212" s="2" t="s">
        <v>837</v>
      </c>
      <c r="F212" s="2" t="s">
        <v>872</v>
      </c>
      <c r="G212" s="2" t="s">
        <v>873</v>
      </c>
      <c r="H212" s="2" t="s">
        <v>874</v>
      </c>
      <c r="I212" s="2" t="s">
        <v>875</v>
      </c>
      <c r="J212" s="2" t="s">
        <v>858</v>
      </c>
      <c r="K212" s="2" t="s">
        <v>400</v>
      </c>
      <c r="L212" s="3">
        <v>34.5</v>
      </c>
      <c r="M212" s="3">
        <v>36.22</v>
      </c>
      <c r="N212" s="3">
        <v>74.99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877</v>
      </c>
      <c r="T212" s="2" t="s">
        <v>878</v>
      </c>
      <c r="U212" s="2" t="s">
        <v>100</v>
      </c>
      <c r="V212" s="2" t="s">
        <v>101</v>
      </c>
      <c r="W212" s="2" t="s">
        <v>567</v>
      </c>
      <c r="X212" s="2" t="s">
        <v>98</v>
      </c>
      <c r="Y212" s="2" t="s">
        <v>883</v>
      </c>
      <c r="Z212" s="4">
        <v>912</v>
      </c>
      <c r="AA212" s="4">
        <f>=ROUNDDOWN(11.4,0)</f>
      </c>
      <c r="AB212" s="5">
        <v>80</v>
      </c>
      <c r="AC212" s="2" t="s">
        <v>250</v>
      </c>
      <c r="AD212" s="4">
        <v>588</v>
      </c>
      <c r="AE212" s="4">
        <v>2436</v>
      </c>
      <c r="AF212" s="6">
        <v>65</v>
      </c>
      <c r="AG212" s="6"/>
      <c r="AH212" s="7">
        <v>1</v>
      </c>
      <c r="AI212" s="4"/>
      <c r="AJ212" s="4">
        <f>=ROUNDDOWN({0},0)</f>
      </c>
      <c r="AK212" s="5">
        <v>0.5</v>
      </c>
      <c r="AL212" s="2" t="s">
        <v>98</v>
      </c>
      <c r="AM212" s="4"/>
      <c r="AN212" s="4"/>
      <c r="AO212" s="7">
        <v>1</v>
      </c>
      <c r="AP212" s="4">
        <v>8</v>
      </c>
      <c r="AQ212" s="8">
        <v>324</v>
      </c>
      <c r="AR212" s="4">
        <v>8</v>
      </c>
      <c r="AS212" s="8">
        <v>257.2</v>
      </c>
      <c r="AT212" s="7"/>
      <c r="AU212" s="7">
        <v>0.2597</v>
      </c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0.0918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820</v>
      </c>
      <c r="BK212" s="8">
        <v>31437.41</v>
      </c>
      <c r="BL212" s="2" t="s">
        <v>900</v>
      </c>
      <c r="BM212" s="7">
        <v>0.0098</v>
      </c>
      <c r="BN212" s="7">
        <v>0.0103</v>
      </c>
      <c r="BO212" s="4">
        <v>8</v>
      </c>
      <c r="BP212" s="8">
        <v>324</v>
      </c>
      <c r="BQ212" s="4">
        <v>8</v>
      </c>
      <c r="BR212" s="8">
        <v>257.2</v>
      </c>
      <c r="BS212" s="7"/>
      <c r="BT212" s="7">
        <v>0.2597</v>
      </c>
      <c r="BU212" s="2" t="s">
        <v>107</v>
      </c>
      <c r="BV212" s="2" t="s">
        <v>108</v>
      </c>
      <c r="BW212" s="2" t="s">
        <v>570</v>
      </c>
      <c r="BX212" s="2" t="s">
        <v>901</v>
      </c>
      <c r="BY212" s="2" t="s">
        <v>111</v>
      </c>
    </row>
    <row r="213">
      <c r="A213" s="2" t="s">
        <v>902</v>
      </c>
      <c r="B213" s="2" t="s">
        <v>86</v>
      </c>
      <c r="C213" s="2" t="s">
        <v>87</v>
      </c>
      <c r="D213" s="2" t="s">
        <v>88</v>
      </c>
      <c r="E213" s="2" t="s">
        <v>837</v>
      </c>
      <c r="F213" s="2" t="s">
        <v>872</v>
      </c>
      <c r="G213" s="2" t="s">
        <v>873</v>
      </c>
      <c r="H213" s="2" t="s">
        <v>874</v>
      </c>
      <c r="I213" s="2" t="s">
        <v>875</v>
      </c>
      <c r="J213" s="2" t="s">
        <v>903</v>
      </c>
      <c r="K213" s="2" t="s">
        <v>400</v>
      </c>
      <c r="L213" s="3">
        <v>38.4</v>
      </c>
      <c r="M213" s="3">
        <v>40.32</v>
      </c>
      <c r="N213" s="3">
        <v>79.99</v>
      </c>
      <c r="O213" s="2" t="s">
        <v>95</v>
      </c>
      <c r="P213" s="2" t="s">
        <v>123</v>
      </c>
      <c r="Q213" s="2" t="s">
        <v>97</v>
      </c>
      <c r="R213" s="2" t="s">
        <v>98</v>
      </c>
      <c r="S213" s="2" t="s">
        <v>877</v>
      </c>
      <c r="T213" s="2" t="s">
        <v>878</v>
      </c>
      <c r="U213" s="2" t="s">
        <v>100</v>
      </c>
      <c r="V213" s="2" t="s">
        <v>101</v>
      </c>
      <c r="W213" s="2" t="s">
        <v>567</v>
      </c>
      <c r="X213" s="2" t="s">
        <v>98</v>
      </c>
      <c r="Y213" s="2" t="s">
        <v>885</v>
      </c>
      <c r="Z213" s="4">
        <v>96</v>
      </c>
      <c r="AA213" s="4">
        <f>=ROUNDDOWN(3.42857142857143,0)</f>
      </c>
      <c r="AB213" s="5">
        <v>28</v>
      </c>
      <c r="AC213" s="2" t="s">
        <v>250</v>
      </c>
      <c r="AD213" s="4">
        <v>96</v>
      </c>
      <c r="AE213" s="4">
        <v>984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6</v>
      </c>
      <c r="AQ213" s="8">
        <v>274.68</v>
      </c>
      <c r="AR213" s="4">
        <v>8</v>
      </c>
      <c r="AS213" s="8">
        <v>294</v>
      </c>
      <c r="AT213" s="7">
        <v>-0.25</v>
      </c>
      <c r="AU213" s="7">
        <v>-0.0657</v>
      </c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0.0778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404</v>
      </c>
      <c r="BK213" s="8">
        <v>17124.72</v>
      </c>
      <c r="BL213" s="2" t="s">
        <v>904</v>
      </c>
      <c r="BM213" s="7">
        <v>0.0149</v>
      </c>
      <c r="BN213" s="7">
        <v>0.016</v>
      </c>
      <c r="BO213" s="4">
        <v>6</v>
      </c>
      <c r="BP213" s="8">
        <v>274.68</v>
      </c>
      <c r="BQ213" s="4">
        <v>8</v>
      </c>
      <c r="BR213" s="8">
        <v>294</v>
      </c>
      <c r="BS213" s="7">
        <v>-0.25</v>
      </c>
      <c r="BT213" s="7">
        <v>-0.0657</v>
      </c>
      <c r="BU213" s="2" t="s">
        <v>107</v>
      </c>
      <c r="BV213" s="2" t="s">
        <v>108</v>
      </c>
      <c r="BW213" s="2" t="s">
        <v>801</v>
      </c>
      <c r="BX213" s="2" t="s">
        <v>905</v>
      </c>
      <c r="BY213" s="2" t="s">
        <v>111</v>
      </c>
    </row>
    <row r="214">
      <c r="A214" s="2" t="s">
        <v>906</v>
      </c>
      <c r="B214" s="2" t="s">
        <v>86</v>
      </c>
      <c r="C214" s="2" t="s">
        <v>87</v>
      </c>
      <c r="D214" s="2" t="s">
        <v>88</v>
      </c>
      <c r="E214" s="2" t="s">
        <v>837</v>
      </c>
      <c r="F214" s="2" t="s">
        <v>872</v>
      </c>
      <c r="G214" s="2" t="s">
        <v>873</v>
      </c>
      <c r="H214" s="2" t="s">
        <v>874</v>
      </c>
      <c r="I214" s="2" t="s">
        <v>907</v>
      </c>
      <c r="J214" s="2" t="s">
        <v>908</v>
      </c>
      <c r="K214" s="2" t="s">
        <v>400</v>
      </c>
      <c r="L214" s="3">
        <v>28.5</v>
      </c>
      <c r="M214" s="3">
        <v>29.93</v>
      </c>
      <c r="N214" s="3">
        <v>64.99</v>
      </c>
      <c r="O214" s="2" t="s">
        <v>95</v>
      </c>
      <c r="P214" s="2" t="s">
        <v>215</v>
      </c>
      <c r="Q214" s="2" t="s">
        <v>97</v>
      </c>
      <c r="R214" s="2" t="s">
        <v>98</v>
      </c>
      <c r="S214" s="2" t="s">
        <v>877</v>
      </c>
      <c r="T214" s="2" t="s">
        <v>878</v>
      </c>
      <c r="U214" s="2" t="s">
        <v>100</v>
      </c>
      <c r="V214" s="2" t="s">
        <v>101</v>
      </c>
      <c r="W214" s="2" t="s">
        <v>567</v>
      </c>
      <c r="X214" s="2" t="s">
        <v>98</v>
      </c>
      <c r="Y214" s="2" t="s">
        <v>909</v>
      </c>
      <c r="Z214" s="4">
        <v>314</v>
      </c>
      <c r="AA214" s="4">
        <f>=ROUNDDOWN(43.013698630137,0)</f>
      </c>
      <c r="AB214" s="5">
        <v>7.3</v>
      </c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50</v>
      </c>
      <c r="BK214" s="8">
        <v>1566.2</v>
      </c>
      <c r="BL214" s="2" t="s">
        <v>910</v>
      </c>
      <c r="BM214" s="7"/>
      <c r="BN214" s="7"/>
      <c r="BO214" s="4"/>
      <c r="BP214" s="8"/>
      <c r="BQ214" s="4"/>
      <c r="BR214" s="8"/>
      <c r="BS214" s="7"/>
      <c r="BT214" s="7"/>
      <c r="BU214" s="2" t="s">
        <v>211</v>
      </c>
      <c r="BV214" s="2" t="s">
        <v>95</v>
      </c>
      <c r="BW214" s="2" t="s">
        <v>911</v>
      </c>
      <c r="BX214" s="2" t="s">
        <v>912</v>
      </c>
      <c r="BY214" s="2" t="s">
        <v>111</v>
      </c>
    </row>
    <row r="215">
      <c r="A215" s="2" t="s">
        <v>913</v>
      </c>
      <c r="B215" s="2" t="s">
        <v>86</v>
      </c>
      <c r="C215" s="2" t="s">
        <v>87</v>
      </c>
      <c r="D215" s="2" t="s">
        <v>88</v>
      </c>
      <c r="E215" s="2" t="s">
        <v>837</v>
      </c>
      <c r="F215" s="2" t="s">
        <v>872</v>
      </c>
      <c r="G215" s="2" t="s">
        <v>873</v>
      </c>
      <c r="H215" s="2" t="s">
        <v>874</v>
      </c>
      <c r="I215" s="2" t="s">
        <v>907</v>
      </c>
      <c r="J215" s="2" t="s">
        <v>914</v>
      </c>
      <c r="K215" s="2" t="s">
        <v>400</v>
      </c>
      <c r="L215" s="3">
        <v>32</v>
      </c>
      <c r="M215" s="3">
        <v>33.6</v>
      </c>
      <c r="N215" s="3">
        <v>69.99</v>
      </c>
      <c r="O215" s="2" t="s">
        <v>95</v>
      </c>
      <c r="P215" s="2" t="s">
        <v>215</v>
      </c>
      <c r="Q215" s="2" t="s">
        <v>97</v>
      </c>
      <c r="R215" s="2" t="s">
        <v>98</v>
      </c>
      <c r="S215" s="2" t="s">
        <v>877</v>
      </c>
      <c r="T215" s="2" t="s">
        <v>878</v>
      </c>
      <c r="U215" s="2" t="s">
        <v>100</v>
      </c>
      <c r="V215" s="2" t="s">
        <v>101</v>
      </c>
      <c r="W215" s="2" t="s">
        <v>567</v>
      </c>
      <c r="X215" s="2" t="s">
        <v>98</v>
      </c>
      <c r="Y215" s="2" t="s">
        <v>909</v>
      </c>
      <c r="Z215" s="4">
        <v>255</v>
      </c>
      <c r="AA215" s="4">
        <f>=ROUNDDOWN(20.7317073170732,0)</f>
      </c>
      <c r="AB215" s="5">
        <v>12.3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69</v>
      </c>
      <c r="BK215" s="8">
        <v>2395.32</v>
      </c>
      <c r="BL215" s="2" t="s">
        <v>915</v>
      </c>
      <c r="BM215" s="7"/>
      <c r="BN215" s="7"/>
      <c r="BO215" s="4"/>
      <c r="BP215" s="8"/>
      <c r="BQ215" s="4"/>
      <c r="BR215" s="8"/>
      <c r="BS215" s="7"/>
      <c r="BT215" s="7"/>
      <c r="BU215" s="2" t="s">
        <v>211</v>
      </c>
      <c r="BV215" s="2" t="s">
        <v>95</v>
      </c>
      <c r="BW215" s="2" t="s">
        <v>911</v>
      </c>
      <c r="BX215" s="2" t="s">
        <v>916</v>
      </c>
      <c r="BY215" s="2" t="s">
        <v>111</v>
      </c>
    </row>
    <row r="216">
      <c r="A216" s="2" t="s">
        <v>917</v>
      </c>
      <c r="B216" s="2" t="s">
        <v>86</v>
      </c>
      <c r="C216" s="2" t="s">
        <v>87</v>
      </c>
      <c r="D216" s="2" t="s">
        <v>88</v>
      </c>
      <c r="E216" s="2" t="s">
        <v>837</v>
      </c>
      <c r="F216" s="2" t="s">
        <v>872</v>
      </c>
      <c r="G216" s="2" t="s">
        <v>873</v>
      </c>
      <c r="H216" s="2" t="s">
        <v>874</v>
      </c>
      <c r="I216" s="2" t="s">
        <v>907</v>
      </c>
      <c r="J216" s="2" t="s">
        <v>918</v>
      </c>
      <c r="K216" s="2" t="s">
        <v>400</v>
      </c>
      <c r="L216" s="3">
        <v>38.5</v>
      </c>
      <c r="M216" s="3">
        <v>40.43</v>
      </c>
      <c r="N216" s="3">
        <v>81.99</v>
      </c>
      <c r="O216" s="2" t="s">
        <v>95</v>
      </c>
      <c r="P216" s="2" t="s">
        <v>215</v>
      </c>
      <c r="Q216" s="2" t="s">
        <v>97</v>
      </c>
      <c r="R216" s="2" t="s">
        <v>98</v>
      </c>
      <c r="S216" s="2" t="s">
        <v>877</v>
      </c>
      <c r="T216" s="2" t="s">
        <v>878</v>
      </c>
      <c r="U216" s="2" t="s">
        <v>100</v>
      </c>
      <c r="V216" s="2" t="s">
        <v>101</v>
      </c>
      <c r="W216" s="2" t="s">
        <v>567</v>
      </c>
      <c r="X216" s="2" t="s">
        <v>98</v>
      </c>
      <c r="Y216" s="2" t="s">
        <v>909</v>
      </c>
      <c r="Z216" s="4">
        <v>256</v>
      </c>
      <c r="AA216" s="4">
        <f>=ROUNDDOWN(27.5268817204301,0)</f>
      </c>
      <c r="AB216" s="5">
        <v>9.3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75</v>
      </c>
      <c r="BK216" s="8">
        <v>3287.11</v>
      </c>
      <c r="BL216" s="2" t="s">
        <v>919</v>
      </c>
      <c r="BM216" s="7"/>
      <c r="BN216" s="7"/>
      <c r="BO216" s="4"/>
      <c r="BP216" s="8"/>
      <c r="BQ216" s="4"/>
      <c r="BR216" s="8"/>
      <c r="BS216" s="7"/>
      <c r="BT216" s="7"/>
      <c r="BU216" s="2" t="s">
        <v>211</v>
      </c>
      <c r="BV216" s="2" t="s">
        <v>95</v>
      </c>
      <c r="BW216" s="2" t="s">
        <v>911</v>
      </c>
      <c r="BX216" s="2" t="s">
        <v>920</v>
      </c>
      <c r="BY216" s="2" t="s">
        <v>111</v>
      </c>
    </row>
    <row r="217">
      <c r="A217" s="2" t="s">
        <v>921</v>
      </c>
      <c r="B217" s="2" t="s">
        <v>86</v>
      </c>
      <c r="C217" s="2" t="s">
        <v>87</v>
      </c>
      <c r="D217" s="2" t="s">
        <v>88</v>
      </c>
      <c r="E217" s="2" t="s">
        <v>837</v>
      </c>
      <c r="F217" s="2" t="s">
        <v>872</v>
      </c>
      <c r="G217" s="2" t="s">
        <v>873</v>
      </c>
      <c r="H217" s="2" t="s">
        <v>874</v>
      </c>
      <c r="I217" s="2" t="s">
        <v>875</v>
      </c>
      <c r="J217" s="2" t="s">
        <v>876</v>
      </c>
      <c r="K217" s="2" t="s">
        <v>458</v>
      </c>
      <c r="L217" s="3">
        <v>23.75</v>
      </c>
      <c r="M217" s="3">
        <v>24.94</v>
      </c>
      <c r="N217" s="3">
        <v>53.99</v>
      </c>
      <c r="O217" s="2" t="s">
        <v>95</v>
      </c>
      <c r="P217" s="2" t="s">
        <v>150</v>
      </c>
      <c r="Q217" s="2" t="s">
        <v>97</v>
      </c>
      <c r="R217" s="2" t="s">
        <v>98</v>
      </c>
      <c r="S217" s="2" t="s">
        <v>922</v>
      </c>
      <c r="T217" s="2" t="s">
        <v>878</v>
      </c>
      <c r="U217" s="2" t="s">
        <v>100</v>
      </c>
      <c r="V217" s="2" t="s">
        <v>101</v>
      </c>
      <c r="W217" s="2" t="s">
        <v>567</v>
      </c>
      <c r="X217" s="2" t="s">
        <v>98</v>
      </c>
      <c r="Y217" s="2" t="s">
        <v>879</v>
      </c>
      <c r="Z217" s="4">
        <v>374</v>
      </c>
      <c r="AA217" s="4">
        <f>=ROUNDDOWN(34,0)</f>
      </c>
      <c r="AB217" s="5">
        <v>11</v>
      </c>
      <c r="AC217" s="2" t="s">
        <v>250</v>
      </c>
      <c r="AD217" s="4">
        <v>330</v>
      </c>
      <c r="AE217" s="4">
        <v>360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7</v>
      </c>
      <c r="AQ217" s="8">
        <v>183.26</v>
      </c>
      <c r="AR217" s="4"/>
      <c r="AS217" s="8"/>
      <c r="AT217" s="7"/>
      <c r="AU217" s="7"/>
      <c r="AV217" s="4">
        <v>55</v>
      </c>
      <c r="AW217" s="8">
        <v>2054.36</v>
      </c>
      <c r="AX217" s="4">
        <v>63</v>
      </c>
      <c r="AY217" s="8">
        <v>1845.33</v>
      </c>
      <c r="AZ217" s="7">
        <v>-0.127</v>
      </c>
      <c r="BA217" s="7">
        <v>0.1133</v>
      </c>
      <c r="BB217" s="7">
        <v>0.0892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0.3033</v>
      </c>
      <c r="BJ217" s="4">
        <v>152</v>
      </c>
      <c r="BK217" s="8">
        <v>4017.04</v>
      </c>
      <c r="BL217" s="2" t="s">
        <v>310</v>
      </c>
      <c r="BM217" s="7">
        <v>0.0461</v>
      </c>
      <c r="BN217" s="7">
        <v>0.0456</v>
      </c>
      <c r="BO217" s="4">
        <v>7</v>
      </c>
      <c r="BP217" s="8">
        <v>183.26</v>
      </c>
      <c r="BQ217" s="4"/>
      <c r="BR217" s="8"/>
      <c r="BS217" s="7"/>
      <c r="BT217" s="7"/>
      <c r="BU217" s="2" t="s">
        <v>107</v>
      </c>
      <c r="BV217" s="2" t="s">
        <v>108</v>
      </c>
      <c r="BW217" s="2" t="s">
        <v>546</v>
      </c>
      <c r="BX217" s="2" t="s">
        <v>923</v>
      </c>
      <c r="BY217" s="2" t="s">
        <v>111</v>
      </c>
    </row>
    <row r="218">
      <c r="A218" s="2" t="s">
        <v>924</v>
      </c>
      <c r="B218" s="2" t="s">
        <v>86</v>
      </c>
      <c r="C218" s="2" t="s">
        <v>87</v>
      </c>
      <c r="D218" s="2" t="s">
        <v>88</v>
      </c>
      <c r="E218" s="2" t="s">
        <v>837</v>
      </c>
      <c r="F218" s="2" t="s">
        <v>872</v>
      </c>
      <c r="G218" s="2" t="s">
        <v>873</v>
      </c>
      <c r="H218" s="2" t="s">
        <v>874</v>
      </c>
      <c r="I218" s="2" t="s">
        <v>875</v>
      </c>
      <c r="J218" s="2" t="s">
        <v>842</v>
      </c>
      <c r="K218" s="2" t="s">
        <v>458</v>
      </c>
      <c r="L218" s="3">
        <v>27</v>
      </c>
      <c r="M218" s="3">
        <v>28.35</v>
      </c>
      <c r="N218" s="3">
        <v>59.99</v>
      </c>
      <c r="O218" s="2" t="s">
        <v>95</v>
      </c>
      <c r="P218" s="2" t="s">
        <v>150</v>
      </c>
      <c r="Q218" s="2" t="s">
        <v>97</v>
      </c>
      <c r="R218" s="2" t="s">
        <v>98</v>
      </c>
      <c r="S218" s="2" t="s">
        <v>922</v>
      </c>
      <c r="T218" s="2" t="s">
        <v>878</v>
      </c>
      <c r="U218" s="2" t="s">
        <v>100</v>
      </c>
      <c r="V218" s="2" t="s">
        <v>101</v>
      </c>
      <c r="W218" s="2" t="s">
        <v>567</v>
      </c>
      <c r="X218" s="2" t="s">
        <v>98</v>
      </c>
      <c r="Y218" s="2" t="s">
        <v>883</v>
      </c>
      <c r="Z218" s="4">
        <v>103</v>
      </c>
      <c r="AA218" s="4">
        <f>=ROUNDDOWN(7.92307692307692,0)</f>
      </c>
      <c r="AB218" s="5">
        <v>13</v>
      </c>
      <c r="AC218" s="2" t="s">
        <v>309</v>
      </c>
      <c r="AD218" s="4">
        <v>390</v>
      </c>
      <c r="AE218" s="4">
        <v>390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4</v>
      </c>
      <c r="AQ218" s="8">
        <v>129.6</v>
      </c>
      <c r="AR218" s="4">
        <v>17</v>
      </c>
      <c r="AS218" s="8">
        <v>423.47</v>
      </c>
      <c r="AT218" s="7">
        <v>-0.7647</v>
      </c>
      <c r="AU218" s="7">
        <v>-0.694</v>
      </c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0.0631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159</v>
      </c>
      <c r="BK218" s="8">
        <v>4733.13</v>
      </c>
      <c r="BL218" s="2" t="s">
        <v>891</v>
      </c>
      <c r="BM218" s="7">
        <v>0.0252</v>
      </c>
      <c r="BN218" s="7">
        <v>0.0274</v>
      </c>
      <c r="BO218" s="4">
        <v>4</v>
      </c>
      <c r="BP218" s="8">
        <v>129.6</v>
      </c>
      <c r="BQ218" s="4">
        <v>17</v>
      </c>
      <c r="BR218" s="8">
        <v>423.47</v>
      </c>
      <c r="BS218" s="7">
        <v>-0.7647</v>
      </c>
      <c r="BT218" s="7">
        <v>-0.694</v>
      </c>
      <c r="BU218" s="2" t="s">
        <v>107</v>
      </c>
      <c r="BV218" s="2" t="s">
        <v>108</v>
      </c>
      <c r="BW218" s="2" t="s">
        <v>570</v>
      </c>
      <c r="BX218" s="2" t="s">
        <v>892</v>
      </c>
      <c r="BY218" s="2" t="s">
        <v>111</v>
      </c>
    </row>
    <row r="219">
      <c r="A219" s="2" t="s">
        <v>925</v>
      </c>
      <c r="B219" s="2" t="s">
        <v>86</v>
      </c>
      <c r="C219" s="2" t="s">
        <v>87</v>
      </c>
      <c r="D219" s="2" t="s">
        <v>88</v>
      </c>
      <c r="E219" s="2" t="s">
        <v>837</v>
      </c>
      <c r="F219" s="2" t="s">
        <v>872</v>
      </c>
      <c r="G219" s="2" t="s">
        <v>873</v>
      </c>
      <c r="H219" s="2" t="s">
        <v>874</v>
      </c>
      <c r="I219" s="2" t="s">
        <v>875</v>
      </c>
      <c r="J219" s="2" t="s">
        <v>848</v>
      </c>
      <c r="K219" s="2" t="s">
        <v>458</v>
      </c>
      <c r="L219" s="3">
        <v>28.5</v>
      </c>
      <c r="M219" s="3">
        <v>29.93</v>
      </c>
      <c r="N219" s="3">
        <v>62.99</v>
      </c>
      <c r="O219" s="2" t="s">
        <v>95</v>
      </c>
      <c r="P219" s="2" t="s">
        <v>150</v>
      </c>
      <c r="Q219" s="2" t="s">
        <v>97</v>
      </c>
      <c r="R219" s="2" t="s">
        <v>98</v>
      </c>
      <c r="S219" s="2" t="s">
        <v>922</v>
      </c>
      <c r="T219" s="2" t="s">
        <v>878</v>
      </c>
      <c r="U219" s="2" t="s">
        <v>100</v>
      </c>
      <c r="V219" s="2" t="s">
        <v>101</v>
      </c>
      <c r="W219" s="2" t="s">
        <v>567</v>
      </c>
      <c r="X219" s="2" t="s">
        <v>98</v>
      </c>
      <c r="Y219" s="2" t="s">
        <v>879</v>
      </c>
      <c r="Z219" s="4">
        <v>259</v>
      </c>
      <c r="AA219" s="4">
        <f>=ROUNDDOWN(25.9,0)</f>
      </c>
      <c r="AB219" s="5">
        <v>10</v>
      </c>
      <c r="AC219" s="2" t="s">
        <v>250</v>
      </c>
      <c r="AD219" s="4">
        <v>192</v>
      </c>
      <c r="AE219" s="4">
        <v>402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143</v>
      </c>
      <c r="BK219" s="8">
        <v>4530.13</v>
      </c>
      <c r="BL219" s="2" t="s">
        <v>926</v>
      </c>
      <c r="BM219" s="7"/>
      <c r="BN219" s="7"/>
      <c r="BO219" s="4"/>
      <c r="BP219" s="8"/>
      <c r="BQ219" s="4"/>
      <c r="BR219" s="8"/>
      <c r="BS219" s="7"/>
      <c r="BT219" s="7"/>
      <c r="BU219" s="2" t="s">
        <v>211</v>
      </c>
      <c r="BV219" s="2" t="s">
        <v>95</v>
      </c>
      <c r="BW219" s="2" t="s">
        <v>546</v>
      </c>
      <c r="BX219" s="2" t="s">
        <v>916</v>
      </c>
      <c r="BY219" s="2" t="s">
        <v>111</v>
      </c>
    </row>
    <row r="220">
      <c r="A220" s="2" t="s">
        <v>927</v>
      </c>
      <c r="B220" s="2" t="s">
        <v>86</v>
      </c>
      <c r="C220" s="2" t="s">
        <v>87</v>
      </c>
      <c r="D220" s="2" t="s">
        <v>88</v>
      </c>
      <c r="E220" s="2" t="s">
        <v>837</v>
      </c>
      <c r="F220" s="2" t="s">
        <v>872</v>
      </c>
      <c r="G220" s="2" t="s">
        <v>873</v>
      </c>
      <c r="H220" s="2" t="s">
        <v>874</v>
      </c>
      <c r="I220" s="2" t="s">
        <v>875</v>
      </c>
      <c r="J220" s="2" t="s">
        <v>851</v>
      </c>
      <c r="K220" s="2" t="s">
        <v>458</v>
      </c>
      <c r="L220" s="3">
        <v>29.25</v>
      </c>
      <c r="M220" s="3">
        <v>30.71</v>
      </c>
      <c r="N220" s="3">
        <v>64.99</v>
      </c>
      <c r="O220" s="2" t="s">
        <v>95</v>
      </c>
      <c r="P220" s="2" t="s">
        <v>123</v>
      </c>
      <c r="Q220" s="2" t="s">
        <v>97</v>
      </c>
      <c r="R220" s="2" t="s">
        <v>98</v>
      </c>
      <c r="S220" s="2" t="s">
        <v>922</v>
      </c>
      <c r="T220" s="2" t="s">
        <v>878</v>
      </c>
      <c r="U220" s="2" t="s">
        <v>100</v>
      </c>
      <c r="V220" s="2" t="s">
        <v>101</v>
      </c>
      <c r="W220" s="2" t="s">
        <v>567</v>
      </c>
      <c r="X220" s="2" t="s">
        <v>98</v>
      </c>
      <c r="Y220" s="2" t="s">
        <v>883</v>
      </c>
      <c r="Z220" s="4">
        <v>108</v>
      </c>
      <c r="AA220" s="4">
        <f>=ROUNDDOWN(7.71428571428571,0)</f>
      </c>
      <c r="AB220" s="5">
        <v>14</v>
      </c>
      <c r="AC220" s="2" t="s">
        <v>309</v>
      </c>
      <c r="AD220" s="4">
        <v>480</v>
      </c>
      <c r="AE220" s="4">
        <v>480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11</v>
      </c>
      <c r="AQ220" s="8">
        <v>386.1</v>
      </c>
      <c r="AR220" s="4">
        <v>11</v>
      </c>
      <c r="AS220" s="8">
        <v>294.69</v>
      </c>
      <c r="AT220" s="7"/>
      <c r="AU220" s="7">
        <v>0.3102</v>
      </c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0.1879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263</v>
      </c>
      <c r="BK220" s="8">
        <v>8490.6</v>
      </c>
      <c r="BL220" s="2" t="s">
        <v>884</v>
      </c>
      <c r="BM220" s="7">
        <v>0.0418</v>
      </c>
      <c r="BN220" s="7">
        <v>0.0455</v>
      </c>
      <c r="BO220" s="4">
        <v>11</v>
      </c>
      <c r="BP220" s="8">
        <v>386.1</v>
      </c>
      <c r="BQ220" s="4">
        <v>11</v>
      </c>
      <c r="BR220" s="8">
        <v>294.69</v>
      </c>
      <c r="BS220" s="7"/>
      <c r="BT220" s="7">
        <v>0.3102</v>
      </c>
      <c r="BU220" s="2" t="s">
        <v>107</v>
      </c>
      <c r="BV220" s="2" t="s">
        <v>108</v>
      </c>
      <c r="BW220" s="2" t="s">
        <v>570</v>
      </c>
      <c r="BX220" s="2" t="s">
        <v>928</v>
      </c>
      <c r="BY220" s="2" t="s">
        <v>111</v>
      </c>
    </row>
    <row r="221">
      <c r="A221" s="2" t="s">
        <v>929</v>
      </c>
      <c r="B221" s="2" t="s">
        <v>86</v>
      </c>
      <c r="C221" s="2" t="s">
        <v>87</v>
      </c>
      <c r="D221" s="2" t="s">
        <v>88</v>
      </c>
      <c r="E221" s="2" t="s">
        <v>837</v>
      </c>
      <c r="F221" s="2" t="s">
        <v>872</v>
      </c>
      <c r="G221" s="2" t="s">
        <v>873</v>
      </c>
      <c r="H221" s="2" t="s">
        <v>874</v>
      </c>
      <c r="I221" s="2" t="s">
        <v>875</v>
      </c>
      <c r="J221" s="2" t="s">
        <v>854</v>
      </c>
      <c r="K221" s="2" t="s">
        <v>458</v>
      </c>
      <c r="L221" s="3">
        <v>32.2</v>
      </c>
      <c r="M221" s="3">
        <v>33.81</v>
      </c>
      <c r="N221" s="3">
        <v>69.99</v>
      </c>
      <c r="O221" s="2" t="s">
        <v>95</v>
      </c>
      <c r="P221" s="2" t="s">
        <v>150</v>
      </c>
      <c r="Q221" s="2" t="s">
        <v>97</v>
      </c>
      <c r="R221" s="2" t="s">
        <v>98</v>
      </c>
      <c r="S221" s="2" t="s">
        <v>922</v>
      </c>
      <c r="T221" s="2" t="s">
        <v>878</v>
      </c>
      <c r="U221" s="2" t="s">
        <v>100</v>
      </c>
      <c r="V221" s="2" t="s">
        <v>101</v>
      </c>
      <c r="W221" s="2" t="s">
        <v>567</v>
      </c>
      <c r="X221" s="2" t="s">
        <v>98</v>
      </c>
      <c r="Y221" s="2" t="s">
        <v>883</v>
      </c>
      <c r="Z221" s="4">
        <v>220</v>
      </c>
      <c r="AA221" s="4">
        <f>=ROUNDDOWN(24.4444444444444,0)</f>
      </c>
      <c r="AB221" s="5">
        <v>9</v>
      </c>
      <c r="AC221" s="2" t="s">
        <v>309</v>
      </c>
      <c r="AD221" s="4">
        <v>108</v>
      </c>
      <c r="AE221" s="4">
        <v>108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6</v>
      </c>
      <c r="AQ221" s="8">
        <v>226.8</v>
      </c>
      <c r="AR221" s="4">
        <v>12</v>
      </c>
      <c r="AS221" s="8">
        <v>360.12</v>
      </c>
      <c r="AT221" s="7">
        <v>-0.5</v>
      </c>
      <c r="AU221" s="7">
        <v>-0.3702</v>
      </c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0.1104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141</v>
      </c>
      <c r="BK221" s="8">
        <v>4994.41</v>
      </c>
      <c r="BL221" s="2" t="s">
        <v>930</v>
      </c>
      <c r="BM221" s="7">
        <v>0.0426</v>
      </c>
      <c r="BN221" s="7">
        <v>0.0454</v>
      </c>
      <c r="BO221" s="4">
        <v>6</v>
      </c>
      <c r="BP221" s="8">
        <v>226.8</v>
      </c>
      <c r="BQ221" s="4">
        <v>12</v>
      </c>
      <c r="BR221" s="8">
        <v>360.12</v>
      </c>
      <c r="BS221" s="7">
        <v>-0.5</v>
      </c>
      <c r="BT221" s="7">
        <v>-0.3702</v>
      </c>
      <c r="BU221" s="2" t="s">
        <v>107</v>
      </c>
      <c r="BV221" s="2" t="s">
        <v>108</v>
      </c>
      <c r="BW221" s="2" t="s">
        <v>570</v>
      </c>
      <c r="BX221" s="2" t="s">
        <v>931</v>
      </c>
      <c r="BY221" s="2" t="s">
        <v>111</v>
      </c>
    </row>
    <row r="222">
      <c r="A222" s="2" t="s">
        <v>932</v>
      </c>
      <c r="B222" s="2" t="s">
        <v>86</v>
      </c>
      <c r="C222" s="2" t="s">
        <v>87</v>
      </c>
      <c r="D222" s="2" t="s">
        <v>88</v>
      </c>
      <c r="E222" s="2" t="s">
        <v>837</v>
      </c>
      <c r="F222" s="2" t="s">
        <v>872</v>
      </c>
      <c r="G222" s="2" t="s">
        <v>873</v>
      </c>
      <c r="H222" s="2" t="s">
        <v>874</v>
      </c>
      <c r="I222" s="2" t="s">
        <v>875</v>
      </c>
      <c r="J222" s="2" t="s">
        <v>896</v>
      </c>
      <c r="K222" s="2" t="s">
        <v>458</v>
      </c>
      <c r="L222" s="3">
        <v>33.5</v>
      </c>
      <c r="M222" s="3">
        <v>35.18</v>
      </c>
      <c r="N222" s="3">
        <v>74.99</v>
      </c>
      <c r="O222" s="2" t="s">
        <v>95</v>
      </c>
      <c r="P222" s="2" t="s">
        <v>699</v>
      </c>
      <c r="Q222" s="2" t="s">
        <v>97</v>
      </c>
      <c r="R222" s="2" t="s">
        <v>98</v>
      </c>
      <c r="S222" s="2" t="s">
        <v>922</v>
      </c>
      <c r="T222" s="2" t="s">
        <v>878</v>
      </c>
      <c r="U222" s="2" t="s">
        <v>100</v>
      </c>
      <c r="V222" s="2" t="s">
        <v>101</v>
      </c>
      <c r="W222" s="2" t="s">
        <v>567</v>
      </c>
      <c r="X222" s="2" t="s">
        <v>98</v>
      </c>
      <c r="Y222" s="2" t="s">
        <v>879</v>
      </c>
      <c r="Z222" s="4">
        <v>754</v>
      </c>
      <c r="AA222" s="4">
        <f>=ROUNDDOWN(39.6842105263158,0)</f>
      </c>
      <c r="AB222" s="5">
        <v>19</v>
      </c>
      <c r="AC222" s="2" t="s">
        <v>250</v>
      </c>
      <c r="AD222" s="4">
        <v>198</v>
      </c>
      <c r="AE222" s="4">
        <v>312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</v>
      </c>
      <c r="AQ222" s="8">
        <v>73.86</v>
      </c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0.036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194</v>
      </c>
      <c r="BK222" s="8">
        <v>7219.18</v>
      </c>
      <c r="BL222" s="2" t="s">
        <v>933</v>
      </c>
      <c r="BM222" s="7">
        <v>0.0103</v>
      </c>
      <c r="BN222" s="7">
        <v>0.0102</v>
      </c>
      <c r="BO222" s="4">
        <v>2</v>
      </c>
      <c r="BP222" s="8">
        <v>73.86</v>
      </c>
      <c r="BQ222" s="4"/>
      <c r="BR222" s="8"/>
      <c r="BS222" s="7"/>
      <c r="BT222" s="7"/>
      <c r="BU222" s="2" t="s">
        <v>107</v>
      </c>
      <c r="BV222" s="2" t="s">
        <v>108</v>
      </c>
      <c r="BW222" s="2" t="s">
        <v>546</v>
      </c>
      <c r="BX222" s="2" t="s">
        <v>194</v>
      </c>
      <c r="BY222" s="2" t="s">
        <v>111</v>
      </c>
    </row>
    <row r="223">
      <c r="A223" s="2" t="s">
        <v>934</v>
      </c>
      <c r="B223" s="2" t="s">
        <v>86</v>
      </c>
      <c r="C223" s="2" t="s">
        <v>87</v>
      </c>
      <c r="D223" s="2" t="s">
        <v>88</v>
      </c>
      <c r="E223" s="2" t="s">
        <v>837</v>
      </c>
      <c r="F223" s="2" t="s">
        <v>872</v>
      </c>
      <c r="G223" s="2" t="s">
        <v>873</v>
      </c>
      <c r="H223" s="2" t="s">
        <v>874</v>
      </c>
      <c r="I223" s="2" t="s">
        <v>875</v>
      </c>
      <c r="J223" s="2" t="s">
        <v>858</v>
      </c>
      <c r="K223" s="2" t="s">
        <v>458</v>
      </c>
      <c r="L223" s="3">
        <v>34.5</v>
      </c>
      <c r="M223" s="3">
        <v>36.22</v>
      </c>
      <c r="N223" s="3">
        <v>74.99</v>
      </c>
      <c r="O223" s="2" t="s">
        <v>95</v>
      </c>
      <c r="P223" s="2" t="s">
        <v>123</v>
      </c>
      <c r="Q223" s="2" t="s">
        <v>97</v>
      </c>
      <c r="R223" s="2" t="s">
        <v>98</v>
      </c>
      <c r="S223" s="2" t="s">
        <v>922</v>
      </c>
      <c r="T223" s="2" t="s">
        <v>878</v>
      </c>
      <c r="U223" s="2" t="s">
        <v>100</v>
      </c>
      <c r="V223" s="2" t="s">
        <v>101</v>
      </c>
      <c r="W223" s="2" t="s">
        <v>567</v>
      </c>
      <c r="X223" s="2" t="s">
        <v>98</v>
      </c>
      <c r="Y223" s="2" t="s">
        <v>883</v>
      </c>
      <c r="Z223" s="4">
        <v>404</v>
      </c>
      <c r="AA223" s="4">
        <f>=ROUNDDOWN(21.2631578947368,0)</f>
      </c>
      <c r="AB223" s="5">
        <v>19</v>
      </c>
      <c r="AC223" s="2" t="s">
        <v>250</v>
      </c>
      <c r="AD223" s="4">
        <v>192</v>
      </c>
      <c r="AE223" s="4">
        <v>432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17</v>
      </c>
      <c r="AQ223" s="8">
        <v>688.5</v>
      </c>
      <c r="AR223" s="4">
        <v>17</v>
      </c>
      <c r="AS223" s="8">
        <v>546.55</v>
      </c>
      <c r="AT223" s="7"/>
      <c r="AU223" s="7">
        <v>0.2597</v>
      </c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0.3351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326</v>
      </c>
      <c r="BK223" s="8">
        <v>12543.4</v>
      </c>
      <c r="BL223" s="2" t="s">
        <v>512</v>
      </c>
      <c r="BM223" s="7">
        <v>0.0521</v>
      </c>
      <c r="BN223" s="7">
        <v>0.0549</v>
      </c>
      <c r="BO223" s="4">
        <v>17</v>
      </c>
      <c r="BP223" s="8">
        <v>688.5</v>
      </c>
      <c r="BQ223" s="4">
        <v>17</v>
      </c>
      <c r="BR223" s="8">
        <v>546.55</v>
      </c>
      <c r="BS223" s="7"/>
      <c r="BT223" s="7">
        <v>0.2597</v>
      </c>
      <c r="BU223" s="2" t="s">
        <v>107</v>
      </c>
      <c r="BV223" s="2" t="s">
        <v>108</v>
      </c>
      <c r="BW223" s="2" t="s">
        <v>570</v>
      </c>
      <c r="BX223" s="2" t="s">
        <v>935</v>
      </c>
      <c r="BY223" s="2" t="s">
        <v>111</v>
      </c>
    </row>
    <row r="224">
      <c r="A224" s="2" t="s">
        <v>936</v>
      </c>
      <c r="B224" s="2" t="s">
        <v>86</v>
      </c>
      <c r="C224" s="2" t="s">
        <v>87</v>
      </c>
      <c r="D224" s="2" t="s">
        <v>88</v>
      </c>
      <c r="E224" s="2" t="s">
        <v>837</v>
      </c>
      <c r="F224" s="2" t="s">
        <v>872</v>
      </c>
      <c r="G224" s="2" t="s">
        <v>873</v>
      </c>
      <c r="H224" s="2" t="s">
        <v>874</v>
      </c>
      <c r="I224" s="2" t="s">
        <v>875</v>
      </c>
      <c r="J224" s="2" t="s">
        <v>903</v>
      </c>
      <c r="K224" s="2" t="s">
        <v>458</v>
      </c>
      <c r="L224" s="3">
        <v>38.4</v>
      </c>
      <c r="M224" s="3">
        <v>40.32</v>
      </c>
      <c r="N224" s="3">
        <v>79.99</v>
      </c>
      <c r="O224" s="2" t="s">
        <v>95</v>
      </c>
      <c r="P224" s="2" t="s">
        <v>150</v>
      </c>
      <c r="Q224" s="2" t="s">
        <v>97</v>
      </c>
      <c r="R224" s="2" t="s">
        <v>98</v>
      </c>
      <c r="S224" s="2" t="s">
        <v>922</v>
      </c>
      <c r="T224" s="2" t="s">
        <v>878</v>
      </c>
      <c r="U224" s="2" t="s">
        <v>100</v>
      </c>
      <c r="V224" s="2" t="s">
        <v>101</v>
      </c>
      <c r="W224" s="2" t="s">
        <v>567</v>
      </c>
      <c r="X224" s="2" t="s">
        <v>98</v>
      </c>
      <c r="Y224" s="2" t="s">
        <v>885</v>
      </c>
      <c r="Z224" s="4">
        <v>194</v>
      </c>
      <c r="AA224" s="4">
        <f>=ROUNDDOWN(17.3214285714286,0)</f>
      </c>
      <c r="AB224" s="5">
        <v>11.2</v>
      </c>
      <c r="AC224" s="2" t="s">
        <v>250</v>
      </c>
      <c r="AD224" s="4">
        <v>162</v>
      </c>
      <c r="AE224" s="4">
        <v>204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8</v>
      </c>
      <c r="AQ224" s="8">
        <v>366.24</v>
      </c>
      <c r="AR224" s="4">
        <v>6</v>
      </c>
      <c r="AS224" s="8">
        <v>220.5</v>
      </c>
      <c r="AT224" s="7">
        <v>0.3333</v>
      </c>
      <c r="AU224" s="7">
        <v>0.661</v>
      </c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0.1783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145</v>
      </c>
      <c r="BK224" s="8">
        <v>6118.54</v>
      </c>
      <c r="BL224" s="2" t="s">
        <v>256</v>
      </c>
      <c r="BM224" s="7">
        <v>0.0552</v>
      </c>
      <c r="BN224" s="7">
        <v>0.0599</v>
      </c>
      <c r="BO224" s="4">
        <v>8</v>
      </c>
      <c r="BP224" s="8">
        <v>366.24</v>
      </c>
      <c r="BQ224" s="4">
        <v>6</v>
      </c>
      <c r="BR224" s="8">
        <v>220.5</v>
      </c>
      <c r="BS224" s="7">
        <v>0.3333</v>
      </c>
      <c r="BT224" s="7">
        <v>0.661</v>
      </c>
      <c r="BU224" s="2" t="s">
        <v>107</v>
      </c>
      <c r="BV224" s="2" t="s">
        <v>108</v>
      </c>
      <c r="BW224" s="2" t="s">
        <v>801</v>
      </c>
      <c r="BX224" s="2" t="s">
        <v>937</v>
      </c>
      <c r="BY224" s="2" t="s">
        <v>111</v>
      </c>
    </row>
    <row r="225">
      <c r="A225" s="2" t="s">
        <v>938</v>
      </c>
      <c r="B225" s="2" t="s">
        <v>86</v>
      </c>
      <c r="C225" s="2" t="s">
        <v>87</v>
      </c>
      <c r="D225" s="2" t="s">
        <v>88</v>
      </c>
      <c r="E225" s="2" t="s">
        <v>837</v>
      </c>
      <c r="F225" s="2" t="s">
        <v>872</v>
      </c>
      <c r="G225" s="2" t="s">
        <v>873</v>
      </c>
      <c r="H225" s="2" t="s">
        <v>874</v>
      </c>
      <c r="I225" s="2" t="s">
        <v>907</v>
      </c>
      <c r="J225" s="2" t="s">
        <v>908</v>
      </c>
      <c r="K225" s="2" t="s">
        <v>458</v>
      </c>
      <c r="L225" s="3">
        <v>28.5</v>
      </c>
      <c r="M225" s="3">
        <v>29.93</v>
      </c>
      <c r="N225" s="3">
        <v>64.99</v>
      </c>
      <c r="O225" s="2" t="s">
        <v>95</v>
      </c>
      <c r="P225" s="2" t="s">
        <v>215</v>
      </c>
      <c r="Q225" s="2" t="s">
        <v>97</v>
      </c>
      <c r="R225" s="2" t="s">
        <v>98</v>
      </c>
      <c r="S225" s="2" t="s">
        <v>922</v>
      </c>
      <c r="T225" s="2" t="s">
        <v>878</v>
      </c>
      <c r="U225" s="2" t="s">
        <v>100</v>
      </c>
      <c r="V225" s="2" t="s">
        <v>101</v>
      </c>
      <c r="W225" s="2" t="s">
        <v>567</v>
      </c>
      <c r="X225" s="2" t="s">
        <v>98</v>
      </c>
      <c r="Y225" s="2" t="s">
        <v>909</v>
      </c>
      <c r="Z225" s="4">
        <v>307</v>
      </c>
      <c r="AA225" s="4">
        <f>=ROUNDDOWN({0},0)</f>
      </c>
      <c r="AB225" s="5"/>
      <c r="AC225" s="2" t="s">
        <v>98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27</v>
      </c>
      <c r="BK225" s="8">
        <v>885.06</v>
      </c>
      <c r="BL225" s="2" t="s">
        <v>939</v>
      </c>
      <c r="BM225" s="7"/>
      <c r="BN225" s="7"/>
      <c r="BO225" s="4"/>
      <c r="BP225" s="8"/>
      <c r="BQ225" s="4"/>
      <c r="BR225" s="8"/>
      <c r="BS225" s="7"/>
      <c r="BT225" s="7"/>
      <c r="BU225" s="2" t="s">
        <v>211</v>
      </c>
      <c r="BV225" s="2" t="s">
        <v>95</v>
      </c>
      <c r="BW225" s="2" t="s">
        <v>911</v>
      </c>
      <c r="BX225" s="2" t="s">
        <v>940</v>
      </c>
      <c r="BY225" s="2" t="s">
        <v>111</v>
      </c>
    </row>
    <row r="226">
      <c r="A226" s="2" t="s">
        <v>941</v>
      </c>
      <c r="B226" s="2" t="s">
        <v>86</v>
      </c>
      <c r="C226" s="2" t="s">
        <v>87</v>
      </c>
      <c r="D226" s="2" t="s">
        <v>88</v>
      </c>
      <c r="E226" s="2" t="s">
        <v>837</v>
      </c>
      <c r="F226" s="2" t="s">
        <v>872</v>
      </c>
      <c r="G226" s="2" t="s">
        <v>873</v>
      </c>
      <c r="H226" s="2" t="s">
        <v>874</v>
      </c>
      <c r="I226" s="2" t="s">
        <v>907</v>
      </c>
      <c r="J226" s="2" t="s">
        <v>914</v>
      </c>
      <c r="K226" s="2" t="s">
        <v>458</v>
      </c>
      <c r="L226" s="3">
        <v>32</v>
      </c>
      <c r="M226" s="3">
        <v>33.6</v>
      </c>
      <c r="N226" s="3">
        <v>69.99</v>
      </c>
      <c r="O226" s="2" t="s">
        <v>95</v>
      </c>
      <c r="P226" s="2" t="s">
        <v>215</v>
      </c>
      <c r="Q226" s="2" t="s">
        <v>97</v>
      </c>
      <c r="R226" s="2" t="s">
        <v>98</v>
      </c>
      <c r="S226" s="2" t="s">
        <v>922</v>
      </c>
      <c r="T226" s="2" t="s">
        <v>878</v>
      </c>
      <c r="U226" s="2" t="s">
        <v>100</v>
      </c>
      <c r="V226" s="2" t="s">
        <v>101</v>
      </c>
      <c r="W226" s="2" t="s">
        <v>567</v>
      </c>
      <c r="X226" s="2" t="s">
        <v>98</v>
      </c>
      <c r="Y226" s="2" t="s">
        <v>909</v>
      </c>
      <c r="Z226" s="4">
        <v>292</v>
      </c>
      <c r="AA226" s="4">
        <f>=ROUNDDOWN({0},0)</f>
      </c>
      <c r="AB226" s="5"/>
      <c r="AC226" s="2" t="s">
        <v>98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28</v>
      </c>
      <c r="BK226" s="8">
        <v>1030.88</v>
      </c>
      <c r="BL226" s="2" t="s">
        <v>942</v>
      </c>
      <c r="BM226" s="7"/>
      <c r="BN226" s="7"/>
      <c r="BO226" s="4"/>
      <c r="BP226" s="8"/>
      <c r="BQ226" s="4"/>
      <c r="BR226" s="8"/>
      <c r="BS226" s="7"/>
      <c r="BT226" s="7"/>
      <c r="BU226" s="2" t="s">
        <v>211</v>
      </c>
      <c r="BV226" s="2" t="s">
        <v>95</v>
      </c>
      <c r="BW226" s="2" t="s">
        <v>911</v>
      </c>
      <c r="BX226" s="2" t="s">
        <v>98</v>
      </c>
      <c r="BY226" s="2" t="s">
        <v>111</v>
      </c>
    </row>
    <row r="227">
      <c r="A227" s="2" t="s">
        <v>943</v>
      </c>
      <c r="B227" s="2" t="s">
        <v>86</v>
      </c>
      <c r="C227" s="2" t="s">
        <v>87</v>
      </c>
      <c r="D227" s="2" t="s">
        <v>88</v>
      </c>
      <c r="E227" s="2" t="s">
        <v>837</v>
      </c>
      <c r="F227" s="2" t="s">
        <v>872</v>
      </c>
      <c r="G227" s="2" t="s">
        <v>873</v>
      </c>
      <c r="H227" s="2" t="s">
        <v>874</v>
      </c>
      <c r="I227" s="2" t="s">
        <v>907</v>
      </c>
      <c r="J227" s="2" t="s">
        <v>918</v>
      </c>
      <c r="K227" s="2" t="s">
        <v>458</v>
      </c>
      <c r="L227" s="3">
        <v>38.5</v>
      </c>
      <c r="M227" s="3">
        <v>40.43</v>
      </c>
      <c r="N227" s="3">
        <v>81.99</v>
      </c>
      <c r="O227" s="2" t="s">
        <v>95</v>
      </c>
      <c r="P227" s="2" t="s">
        <v>215</v>
      </c>
      <c r="Q227" s="2" t="s">
        <v>97</v>
      </c>
      <c r="R227" s="2" t="s">
        <v>98</v>
      </c>
      <c r="S227" s="2" t="s">
        <v>922</v>
      </c>
      <c r="T227" s="2" t="s">
        <v>878</v>
      </c>
      <c r="U227" s="2" t="s">
        <v>100</v>
      </c>
      <c r="V227" s="2" t="s">
        <v>101</v>
      </c>
      <c r="W227" s="2" t="s">
        <v>567</v>
      </c>
      <c r="X227" s="2" t="s">
        <v>98</v>
      </c>
      <c r="Y227" s="2" t="s">
        <v>909</v>
      </c>
      <c r="Z227" s="4">
        <v>316</v>
      </c>
      <c r="AA227" s="4">
        <f>=ROUNDDOWN(105.333333333333,0)</f>
      </c>
      <c r="AB227" s="5">
        <v>3</v>
      </c>
      <c r="AC227" s="2" t="s">
        <v>98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47</v>
      </c>
      <c r="BK227" s="8">
        <v>2043.02</v>
      </c>
      <c r="BL227" s="2" t="s">
        <v>910</v>
      </c>
      <c r="BM227" s="7"/>
      <c r="BN227" s="7"/>
      <c r="BO227" s="4"/>
      <c r="BP227" s="8"/>
      <c r="BQ227" s="4"/>
      <c r="BR227" s="8"/>
      <c r="BS227" s="7"/>
      <c r="BT227" s="7"/>
      <c r="BU227" s="2" t="s">
        <v>211</v>
      </c>
      <c r="BV227" s="2" t="s">
        <v>95</v>
      </c>
      <c r="BW227" s="2" t="s">
        <v>911</v>
      </c>
      <c r="BX227" s="2" t="s">
        <v>98</v>
      </c>
      <c r="BY227" s="2" t="s">
        <v>111</v>
      </c>
    </row>
    <row r="228">
      <c r="A228" s="2" t="s">
        <v>944</v>
      </c>
      <c r="B228" s="2" t="s">
        <v>86</v>
      </c>
      <c r="C228" s="2" t="s">
        <v>87</v>
      </c>
      <c r="D228" s="2" t="s">
        <v>88</v>
      </c>
      <c r="E228" s="2" t="s">
        <v>837</v>
      </c>
      <c r="F228" s="2" t="s">
        <v>872</v>
      </c>
      <c r="G228" s="2" t="s">
        <v>873</v>
      </c>
      <c r="H228" s="2" t="s">
        <v>874</v>
      </c>
      <c r="I228" s="2" t="s">
        <v>875</v>
      </c>
      <c r="J228" s="2" t="s">
        <v>876</v>
      </c>
      <c r="K228" s="2" t="s">
        <v>94</v>
      </c>
      <c r="L228" s="3">
        <v>23.75</v>
      </c>
      <c r="M228" s="3">
        <v>24.94</v>
      </c>
      <c r="N228" s="3">
        <v>53.99</v>
      </c>
      <c r="O228" s="2" t="s">
        <v>95</v>
      </c>
      <c r="P228" s="2" t="s">
        <v>699</v>
      </c>
      <c r="Q228" s="2" t="s">
        <v>97</v>
      </c>
      <c r="R228" s="2" t="s">
        <v>98</v>
      </c>
      <c r="S228" s="2" t="s">
        <v>945</v>
      </c>
      <c r="T228" s="2" t="s">
        <v>878</v>
      </c>
      <c r="U228" s="2" t="s">
        <v>100</v>
      </c>
      <c r="V228" s="2" t="s">
        <v>101</v>
      </c>
      <c r="W228" s="2" t="s">
        <v>567</v>
      </c>
      <c r="X228" s="2" t="s">
        <v>98</v>
      </c>
      <c r="Y228" s="2" t="s">
        <v>946</v>
      </c>
      <c r="Z228" s="4">
        <v>509</v>
      </c>
      <c r="AA228" s="4">
        <f>=ROUNDDOWN(25.45,0)</f>
      </c>
      <c r="AB228" s="5">
        <v>20</v>
      </c>
      <c r="AC228" s="2" t="s">
        <v>250</v>
      </c>
      <c r="AD228" s="4">
        <v>72</v>
      </c>
      <c r="AE228" s="4">
        <v>348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2</v>
      </c>
      <c r="AQ228" s="8">
        <v>52.36</v>
      </c>
      <c r="AR228" s="4"/>
      <c r="AS228" s="8"/>
      <c r="AT228" s="7"/>
      <c r="AU228" s="7"/>
      <c r="AV228" s="4">
        <v>18</v>
      </c>
      <c r="AW228" s="8">
        <v>662.53</v>
      </c>
      <c r="AX228" s="4">
        <v>78</v>
      </c>
      <c r="AY228" s="8">
        <v>2267.21</v>
      </c>
      <c r="AZ228" s="7">
        <v>-0.7692</v>
      </c>
      <c r="BA228" s="7">
        <v>-0.7078</v>
      </c>
      <c r="BB228" s="7">
        <v>0.079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0.0978</v>
      </c>
      <c r="BJ228" s="4">
        <v>139</v>
      </c>
      <c r="BK228" s="8">
        <v>3670.5</v>
      </c>
      <c r="BL228" s="2" t="s">
        <v>855</v>
      </c>
      <c r="BM228" s="7">
        <v>0.0144</v>
      </c>
      <c r="BN228" s="7">
        <v>0.0143</v>
      </c>
      <c r="BO228" s="4">
        <v>2</v>
      </c>
      <c r="BP228" s="8">
        <v>52.36</v>
      </c>
      <c r="BQ228" s="4"/>
      <c r="BR228" s="8"/>
      <c r="BS228" s="7"/>
      <c r="BT228" s="7"/>
      <c r="BU228" s="2" t="s">
        <v>107</v>
      </c>
      <c r="BV228" s="2" t="s">
        <v>108</v>
      </c>
      <c r="BW228" s="2" t="s">
        <v>947</v>
      </c>
      <c r="BX228" s="2" t="s">
        <v>948</v>
      </c>
      <c r="BY228" s="2" t="s">
        <v>111</v>
      </c>
    </row>
    <row r="229">
      <c r="A229" s="2" t="s">
        <v>949</v>
      </c>
      <c r="B229" s="2" t="s">
        <v>86</v>
      </c>
      <c r="C229" s="2" t="s">
        <v>87</v>
      </c>
      <c r="D229" s="2" t="s">
        <v>88</v>
      </c>
      <c r="E229" s="2" t="s">
        <v>837</v>
      </c>
      <c r="F229" s="2" t="s">
        <v>872</v>
      </c>
      <c r="G229" s="2" t="s">
        <v>873</v>
      </c>
      <c r="H229" s="2" t="s">
        <v>874</v>
      </c>
      <c r="I229" s="2" t="s">
        <v>875</v>
      </c>
      <c r="J229" s="2" t="s">
        <v>842</v>
      </c>
      <c r="K229" s="2" t="s">
        <v>94</v>
      </c>
      <c r="L229" s="3">
        <v>27</v>
      </c>
      <c r="M229" s="3">
        <v>28.35</v>
      </c>
      <c r="N229" s="3">
        <v>59.99</v>
      </c>
      <c r="O229" s="2" t="s">
        <v>95</v>
      </c>
      <c r="P229" s="2" t="s">
        <v>123</v>
      </c>
      <c r="Q229" s="2" t="s">
        <v>97</v>
      </c>
      <c r="R229" s="2" t="s">
        <v>98</v>
      </c>
      <c r="S229" s="2" t="s">
        <v>945</v>
      </c>
      <c r="T229" s="2" t="s">
        <v>878</v>
      </c>
      <c r="U229" s="2" t="s">
        <v>100</v>
      </c>
      <c r="V229" s="2" t="s">
        <v>101</v>
      </c>
      <c r="W229" s="2" t="s">
        <v>567</v>
      </c>
      <c r="X229" s="2" t="s">
        <v>98</v>
      </c>
      <c r="Y229" s="2" t="s">
        <v>950</v>
      </c>
      <c r="Z229" s="4">
        <v>541</v>
      </c>
      <c r="AA229" s="4">
        <f>=ROUNDDOWN(15.0277777777778,0)</f>
      </c>
      <c r="AB229" s="5">
        <v>36</v>
      </c>
      <c r="AC229" s="2" t="s">
        <v>250</v>
      </c>
      <c r="AD229" s="4">
        <v>90</v>
      </c>
      <c r="AE229" s="4">
        <v>960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>
        <v>18</v>
      </c>
      <c r="AS229" s="8">
        <v>461.34</v>
      </c>
      <c r="AT229" s="7">
        <v>-1</v>
      </c>
      <c r="AU229" s="7">
        <v>-1</v>
      </c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395</v>
      </c>
      <c r="BK229" s="8">
        <v>11945.83</v>
      </c>
      <c r="BL229" s="2" t="s">
        <v>951</v>
      </c>
      <c r="BM229" s="7"/>
      <c r="BN229" s="7"/>
      <c r="BO229" s="4"/>
      <c r="BP229" s="8"/>
      <c r="BQ229" s="4">
        <v>18</v>
      </c>
      <c r="BR229" s="8">
        <v>461.34</v>
      </c>
      <c r="BS229" s="7">
        <v>-1</v>
      </c>
      <c r="BT229" s="7">
        <v>-1</v>
      </c>
      <c r="BU229" s="2" t="s">
        <v>107</v>
      </c>
      <c r="BV229" s="2" t="s">
        <v>108</v>
      </c>
      <c r="BW229" s="2" t="s">
        <v>801</v>
      </c>
      <c r="BX229" s="2" t="s">
        <v>952</v>
      </c>
      <c r="BY229" s="2" t="s">
        <v>111</v>
      </c>
    </row>
    <row r="230">
      <c r="A230" s="2" t="s">
        <v>953</v>
      </c>
      <c r="B230" s="2" t="s">
        <v>86</v>
      </c>
      <c r="C230" s="2" t="s">
        <v>87</v>
      </c>
      <c r="D230" s="2" t="s">
        <v>88</v>
      </c>
      <c r="E230" s="2" t="s">
        <v>837</v>
      </c>
      <c r="F230" s="2" t="s">
        <v>872</v>
      </c>
      <c r="G230" s="2" t="s">
        <v>873</v>
      </c>
      <c r="H230" s="2" t="s">
        <v>874</v>
      </c>
      <c r="I230" s="2" t="s">
        <v>875</v>
      </c>
      <c r="J230" s="2" t="s">
        <v>848</v>
      </c>
      <c r="K230" s="2" t="s">
        <v>94</v>
      </c>
      <c r="L230" s="3">
        <v>28.5</v>
      </c>
      <c r="M230" s="3">
        <v>29.93</v>
      </c>
      <c r="N230" s="3">
        <v>62.99</v>
      </c>
      <c r="O230" s="2" t="s">
        <v>95</v>
      </c>
      <c r="P230" s="2" t="s">
        <v>699</v>
      </c>
      <c r="Q230" s="2" t="s">
        <v>97</v>
      </c>
      <c r="R230" s="2" t="s">
        <v>98</v>
      </c>
      <c r="S230" s="2" t="s">
        <v>945</v>
      </c>
      <c r="T230" s="2" t="s">
        <v>878</v>
      </c>
      <c r="U230" s="2" t="s">
        <v>100</v>
      </c>
      <c r="V230" s="2" t="s">
        <v>101</v>
      </c>
      <c r="W230" s="2" t="s">
        <v>567</v>
      </c>
      <c r="X230" s="2" t="s">
        <v>98</v>
      </c>
      <c r="Y230" s="2" t="s">
        <v>946</v>
      </c>
      <c r="Z230" s="4">
        <v>523</v>
      </c>
      <c r="AA230" s="4">
        <f>=ROUNDDOWN(22.7391304347826,0)</f>
      </c>
      <c r="AB230" s="5">
        <v>23</v>
      </c>
      <c r="AC230" s="2" t="s">
        <v>250</v>
      </c>
      <c r="AD230" s="4">
        <v>210</v>
      </c>
      <c r="AE230" s="4">
        <v>622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106</v>
      </c>
      <c r="BK230" s="8">
        <v>3238.6</v>
      </c>
      <c r="BL230" s="2" t="s">
        <v>954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108</v>
      </c>
      <c r="BW230" s="2" t="s">
        <v>546</v>
      </c>
      <c r="BX230" s="2" t="s">
        <v>955</v>
      </c>
      <c r="BY230" s="2" t="s">
        <v>111</v>
      </c>
    </row>
    <row r="231">
      <c r="A231" s="2" t="s">
        <v>956</v>
      </c>
      <c r="B231" s="2" t="s">
        <v>86</v>
      </c>
      <c r="C231" s="2" t="s">
        <v>87</v>
      </c>
      <c r="D231" s="2" t="s">
        <v>88</v>
      </c>
      <c r="E231" s="2" t="s">
        <v>837</v>
      </c>
      <c r="F231" s="2" t="s">
        <v>872</v>
      </c>
      <c r="G231" s="2" t="s">
        <v>873</v>
      </c>
      <c r="H231" s="2" t="s">
        <v>874</v>
      </c>
      <c r="I231" s="2" t="s">
        <v>875</v>
      </c>
      <c r="J231" s="2" t="s">
        <v>851</v>
      </c>
      <c r="K231" s="2" t="s">
        <v>94</v>
      </c>
      <c r="L231" s="3">
        <v>29.25</v>
      </c>
      <c r="M231" s="3">
        <v>30.71</v>
      </c>
      <c r="N231" s="3">
        <v>64.99</v>
      </c>
      <c r="O231" s="2" t="s">
        <v>95</v>
      </c>
      <c r="P231" s="2" t="s">
        <v>123</v>
      </c>
      <c r="Q231" s="2" t="s">
        <v>97</v>
      </c>
      <c r="R231" s="2" t="s">
        <v>98</v>
      </c>
      <c r="S231" s="2" t="s">
        <v>945</v>
      </c>
      <c r="T231" s="2" t="s">
        <v>878</v>
      </c>
      <c r="U231" s="2" t="s">
        <v>100</v>
      </c>
      <c r="V231" s="2" t="s">
        <v>101</v>
      </c>
      <c r="W231" s="2" t="s">
        <v>567</v>
      </c>
      <c r="X231" s="2" t="s">
        <v>98</v>
      </c>
      <c r="Y231" s="2" t="s">
        <v>950</v>
      </c>
      <c r="Z231" s="4">
        <v>531</v>
      </c>
      <c r="AA231" s="4">
        <f>=ROUNDDOWN(16.59375,0)</f>
      </c>
      <c r="AB231" s="5">
        <v>32</v>
      </c>
      <c r="AC231" s="2" t="s">
        <v>114</v>
      </c>
      <c r="AD231" s="4">
        <v>96</v>
      </c>
      <c r="AE231" s="4">
        <v>612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5</v>
      </c>
      <c r="AQ231" s="8">
        <v>175.5</v>
      </c>
      <c r="AR231" s="4">
        <v>32</v>
      </c>
      <c r="AS231" s="8">
        <v>881.92</v>
      </c>
      <c r="AT231" s="7">
        <v>-0.8438</v>
      </c>
      <c r="AU231" s="7">
        <v>-0.801</v>
      </c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0.2649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383</v>
      </c>
      <c r="BK231" s="8">
        <v>12611.65</v>
      </c>
      <c r="BL231" s="2" t="s">
        <v>957</v>
      </c>
      <c r="BM231" s="7">
        <v>0.0131</v>
      </c>
      <c r="BN231" s="7">
        <v>0.0139</v>
      </c>
      <c r="BO231" s="4">
        <v>5</v>
      </c>
      <c r="BP231" s="8">
        <v>175.5</v>
      </c>
      <c r="BQ231" s="4">
        <v>32</v>
      </c>
      <c r="BR231" s="8">
        <v>881.92</v>
      </c>
      <c r="BS231" s="7">
        <v>-0.8438</v>
      </c>
      <c r="BT231" s="7">
        <v>-0.801</v>
      </c>
      <c r="BU231" s="2" t="s">
        <v>107</v>
      </c>
      <c r="BV231" s="2" t="s">
        <v>108</v>
      </c>
      <c r="BW231" s="2" t="s">
        <v>801</v>
      </c>
      <c r="BX231" s="2" t="s">
        <v>802</v>
      </c>
      <c r="BY231" s="2" t="s">
        <v>111</v>
      </c>
    </row>
    <row r="232">
      <c r="A232" s="2" t="s">
        <v>958</v>
      </c>
      <c r="B232" s="2" t="s">
        <v>86</v>
      </c>
      <c r="C232" s="2" t="s">
        <v>87</v>
      </c>
      <c r="D232" s="2" t="s">
        <v>88</v>
      </c>
      <c r="E232" s="2" t="s">
        <v>837</v>
      </c>
      <c r="F232" s="2" t="s">
        <v>872</v>
      </c>
      <c r="G232" s="2" t="s">
        <v>873</v>
      </c>
      <c r="H232" s="2" t="s">
        <v>874</v>
      </c>
      <c r="I232" s="2" t="s">
        <v>875</v>
      </c>
      <c r="J232" s="2" t="s">
        <v>854</v>
      </c>
      <c r="K232" s="2" t="s">
        <v>94</v>
      </c>
      <c r="L232" s="3">
        <v>32.2</v>
      </c>
      <c r="M232" s="3">
        <v>33.81</v>
      </c>
      <c r="N232" s="3">
        <v>69.99</v>
      </c>
      <c r="O232" s="2" t="s">
        <v>95</v>
      </c>
      <c r="P232" s="2" t="s">
        <v>123</v>
      </c>
      <c r="Q232" s="2" t="s">
        <v>97</v>
      </c>
      <c r="R232" s="2" t="s">
        <v>98</v>
      </c>
      <c r="S232" s="2" t="s">
        <v>945</v>
      </c>
      <c r="T232" s="2" t="s">
        <v>878</v>
      </c>
      <c r="U232" s="2" t="s">
        <v>100</v>
      </c>
      <c r="V232" s="2" t="s">
        <v>101</v>
      </c>
      <c r="W232" s="2" t="s">
        <v>567</v>
      </c>
      <c r="X232" s="2" t="s">
        <v>98</v>
      </c>
      <c r="Y232" s="2" t="s">
        <v>950</v>
      </c>
      <c r="Z232" s="4">
        <v>460</v>
      </c>
      <c r="AA232" s="4">
        <f>=ROUNDDOWN(28.75,0)</f>
      </c>
      <c r="AB232" s="5">
        <v>16</v>
      </c>
      <c r="AC232" s="2" t="s">
        <v>114</v>
      </c>
      <c r="AD232" s="4">
        <v>114</v>
      </c>
      <c r="AE232" s="4">
        <v>114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1</v>
      </c>
      <c r="AP232" s="4">
        <v>2</v>
      </c>
      <c r="AQ232" s="8">
        <v>75.6</v>
      </c>
      <c r="AR232" s="4">
        <v>11</v>
      </c>
      <c r="AS232" s="8">
        <v>339.57</v>
      </c>
      <c r="AT232" s="7">
        <v>-0.8182</v>
      </c>
      <c r="AU232" s="7">
        <v>-0.7774</v>
      </c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0.1141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225</v>
      </c>
      <c r="BK232" s="8">
        <v>8140.83</v>
      </c>
      <c r="BL232" s="2" t="s">
        <v>959</v>
      </c>
      <c r="BM232" s="7">
        <v>0.0089</v>
      </c>
      <c r="BN232" s="7">
        <v>0.0093</v>
      </c>
      <c r="BO232" s="4">
        <v>2</v>
      </c>
      <c r="BP232" s="8">
        <v>75.6</v>
      </c>
      <c r="BQ232" s="4">
        <v>11</v>
      </c>
      <c r="BR232" s="8">
        <v>339.57</v>
      </c>
      <c r="BS232" s="7">
        <v>-0.8182</v>
      </c>
      <c r="BT232" s="7">
        <v>-0.7774</v>
      </c>
      <c r="BU232" s="2" t="s">
        <v>107</v>
      </c>
      <c r="BV232" s="2" t="s">
        <v>108</v>
      </c>
      <c r="BW232" s="2" t="s">
        <v>801</v>
      </c>
      <c r="BX232" s="2" t="s">
        <v>960</v>
      </c>
      <c r="BY232" s="2" t="s">
        <v>111</v>
      </c>
    </row>
    <row r="233">
      <c r="A233" s="2" t="s">
        <v>961</v>
      </c>
      <c r="B233" s="2" t="s">
        <v>86</v>
      </c>
      <c r="C233" s="2" t="s">
        <v>87</v>
      </c>
      <c r="D233" s="2" t="s">
        <v>88</v>
      </c>
      <c r="E233" s="2" t="s">
        <v>837</v>
      </c>
      <c r="F233" s="2" t="s">
        <v>872</v>
      </c>
      <c r="G233" s="2" t="s">
        <v>873</v>
      </c>
      <c r="H233" s="2" t="s">
        <v>874</v>
      </c>
      <c r="I233" s="2" t="s">
        <v>875</v>
      </c>
      <c r="J233" s="2" t="s">
        <v>896</v>
      </c>
      <c r="K233" s="2" t="s">
        <v>94</v>
      </c>
      <c r="L233" s="3">
        <v>33.5</v>
      </c>
      <c r="M233" s="3">
        <v>35.18</v>
      </c>
      <c r="N233" s="3">
        <v>74.99</v>
      </c>
      <c r="O233" s="2" t="s">
        <v>95</v>
      </c>
      <c r="P233" s="2" t="s">
        <v>699</v>
      </c>
      <c r="Q233" s="2" t="s">
        <v>97</v>
      </c>
      <c r="R233" s="2" t="s">
        <v>98</v>
      </c>
      <c r="S233" s="2" t="s">
        <v>945</v>
      </c>
      <c r="T233" s="2" t="s">
        <v>878</v>
      </c>
      <c r="U233" s="2" t="s">
        <v>100</v>
      </c>
      <c r="V233" s="2" t="s">
        <v>101</v>
      </c>
      <c r="W233" s="2" t="s">
        <v>567</v>
      </c>
      <c r="X233" s="2" t="s">
        <v>98</v>
      </c>
      <c r="Y233" s="2" t="s">
        <v>946</v>
      </c>
      <c r="Z233" s="4">
        <v>209</v>
      </c>
      <c r="AA233" s="4">
        <f>=ROUNDDOWN(13.0625,0)</f>
      </c>
      <c r="AB233" s="5">
        <v>16</v>
      </c>
      <c r="AC233" s="2" t="s">
        <v>250</v>
      </c>
      <c r="AD233" s="4">
        <v>30</v>
      </c>
      <c r="AE233" s="4">
        <v>432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3</v>
      </c>
      <c r="AQ233" s="8">
        <v>110.79</v>
      </c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0.1672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181</v>
      </c>
      <c r="BK233" s="8">
        <v>6774.52</v>
      </c>
      <c r="BL233" s="2" t="s">
        <v>855</v>
      </c>
      <c r="BM233" s="7">
        <v>0.0166</v>
      </c>
      <c r="BN233" s="7">
        <v>0.0164</v>
      </c>
      <c r="BO233" s="4">
        <v>3</v>
      </c>
      <c r="BP233" s="8">
        <v>110.79</v>
      </c>
      <c r="BQ233" s="4"/>
      <c r="BR233" s="8"/>
      <c r="BS233" s="7"/>
      <c r="BT233" s="7"/>
      <c r="BU233" s="2" t="s">
        <v>107</v>
      </c>
      <c r="BV233" s="2" t="s">
        <v>108</v>
      </c>
      <c r="BW233" s="2" t="s">
        <v>962</v>
      </c>
      <c r="BX233" s="2" t="s">
        <v>898</v>
      </c>
      <c r="BY233" s="2" t="s">
        <v>111</v>
      </c>
    </row>
    <row r="234">
      <c r="A234" s="2" t="s">
        <v>963</v>
      </c>
      <c r="B234" s="2" t="s">
        <v>86</v>
      </c>
      <c r="C234" s="2" t="s">
        <v>87</v>
      </c>
      <c r="D234" s="2" t="s">
        <v>88</v>
      </c>
      <c r="E234" s="2" t="s">
        <v>837</v>
      </c>
      <c r="F234" s="2" t="s">
        <v>872</v>
      </c>
      <c r="G234" s="2" t="s">
        <v>873</v>
      </c>
      <c r="H234" s="2" t="s">
        <v>874</v>
      </c>
      <c r="I234" s="2" t="s">
        <v>875</v>
      </c>
      <c r="J234" s="2" t="s">
        <v>858</v>
      </c>
      <c r="K234" s="2" t="s">
        <v>94</v>
      </c>
      <c r="L234" s="3">
        <v>34.5</v>
      </c>
      <c r="M234" s="3">
        <v>36.22</v>
      </c>
      <c r="N234" s="3">
        <v>74.99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945</v>
      </c>
      <c r="T234" s="2" t="s">
        <v>878</v>
      </c>
      <c r="U234" s="2" t="s">
        <v>100</v>
      </c>
      <c r="V234" s="2" t="s">
        <v>101</v>
      </c>
      <c r="W234" s="2" t="s">
        <v>567</v>
      </c>
      <c r="X234" s="2" t="s">
        <v>98</v>
      </c>
      <c r="Y234" s="2" t="s">
        <v>950</v>
      </c>
      <c r="Z234" s="4">
        <v>420</v>
      </c>
      <c r="AA234" s="4">
        <f>=ROUNDDOWN(12.3529411764706,0)</f>
      </c>
      <c r="AB234" s="5">
        <v>34</v>
      </c>
      <c r="AC234" s="2" t="s">
        <v>114</v>
      </c>
      <c r="AD234" s="4">
        <v>198</v>
      </c>
      <c r="AE234" s="4">
        <v>828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5</v>
      </c>
      <c r="AQ234" s="8">
        <v>202.5</v>
      </c>
      <c r="AR234" s="4">
        <v>11</v>
      </c>
      <c r="AS234" s="8">
        <v>363.88</v>
      </c>
      <c r="AT234" s="7">
        <v>-0.5455</v>
      </c>
      <c r="AU234" s="7">
        <v>-0.4435</v>
      </c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0.3056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386</v>
      </c>
      <c r="BK234" s="8">
        <v>14840.48</v>
      </c>
      <c r="BL234" s="2" t="s">
        <v>951</v>
      </c>
      <c r="BM234" s="7">
        <v>0.013</v>
      </c>
      <c r="BN234" s="7">
        <v>0.0136</v>
      </c>
      <c r="BO234" s="4">
        <v>5</v>
      </c>
      <c r="BP234" s="8">
        <v>202.5</v>
      </c>
      <c r="BQ234" s="4">
        <v>11</v>
      </c>
      <c r="BR234" s="8">
        <v>363.88</v>
      </c>
      <c r="BS234" s="7">
        <v>-0.5455</v>
      </c>
      <c r="BT234" s="7">
        <v>-0.4435</v>
      </c>
      <c r="BU234" s="2" t="s">
        <v>107</v>
      </c>
      <c r="BV234" s="2" t="s">
        <v>108</v>
      </c>
      <c r="BW234" s="2" t="s">
        <v>801</v>
      </c>
      <c r="BX234" s="2" t="s">
        <v>964</v>
      </c>
      <c r="BY234" s="2" t="s">
        <v>111</v>
      </c>
    </row>
    <row r="235">
      <c r="A235" s="2" t="s">
        <v>965</v>
      </c>
      <c r="B235" s="2" t="s">
        <v>86</v>
      </c>
      <c r="C235" s="2" t="s">
        <v>87</v>
      </c>
      <c r="D235" s="2" t="s">
        <v>88</v>
      </c>
      <c r="E235" s="2" t="s">
        <v>837</v>
      </c>
      <c r="F235" s="2" t="s">
        <v>872</v>
      </c>
      <c r="G235" s="2" t="s">
        <v>873</v>
      </c>
      <c r="H235" s="2" t="s">
        <v>874</v>
      </c>
      <c r="I235" s="2" t="s">
        <v>875</v>
      </c>
      <c r="J235" s="2" t="s">
        <v>903</v>
      </c>
      <c r="K235" s="2" t="s">
        <v>94</v>
      </c>
      <c r="L235" s="3">
        <v>38.4</v>
      </c>
      <c r="M235" s="3">
        <v>40.32</v>
      </c>
      <c r="N235" s="3">
        <v>79.99</v>
      </c>
      <c r="O235" s="2" t="s">
        <v>95</v>
      </c>
      <c r="P235" s="2" t="s">
        <v>123</v>
      </c>
      <c r="Q235" s="2" t="s">
        <v>97</v>
      </c>
      <c r="R235" s="2" t="s">
        <v>98</v>
      </c>
      <c r="S235" s="2" t="s">
        <v>945</v>
      </c>
      <c r="T235" s="2" t="s">
        <v>878</v>
      </c>
      <c r="U235" s="2" t="s">
        <v>100</v>
      </c>
      <c r="V235" s="2" t="s">
        <v>101</v>
      </c>
      <c r="W235" s="2" t="s">
        <v>567</v>
      </c>
      <c r="X235" s="2" t="s">
        <v>98</v>
      </c>
      <c r="Y235" s="2" t="s">
        <v>950</v>
      </c>
      <c r="Z235" s="4">
        <v>419</v>
      </c>
      <c r="AA235" s="4">
        <f>=ROUNDDOWN(20.95,0)</f>
      </c>
      <c r="AB235" s="5">
        <v>20</v>
      </c>
      <c r="AC235" s="2" t="s">
        <v>114</v>
      </c>
      <c r="AD235" s="4">
        <v>84</v>
      </c>
      <c r="AE235" s="4">
        <v>318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45.78</v>
      </c>
      <c r="AR235" s="4">
        <v>6</v>
      </c>
      <c r="AS235" s="8">
        <v>220.5</v>
      </c>
      <c r="AT235" s="7">
        <v>-0.8333</v>
      </c>
      <c r="AU235" s="7">
        <v>-0.7924</v>
      </c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0.0691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167</v>
      </c>
      <c r="BK235" s="8">
        <v>7144.59</v>
      </c>
      <c r="BL235" s="2" t="s">
        <v>966</v>
      </c>
      <c r="BM235" s="7">
        <v>0.006</v>
      </c>
      <c r="BN235" s="7">
        <v>0.0064</v>
      </c>
      <c r="BO235" s="4">
        <v>1</v>
      </c>
      <c r="BP235" s="8">
        <v>45.78</v>
      </c>
      <c r="BQ235" s="4">
        <v>6</v>
      </c>
      <c r="BR235" s="8">
        <v>220.5</v>
      </c>
      <c r="BS235" s="7">
        <v>-0.8333</v>
      </c>
      <c r="BT235" s="7">
        <v>-0.7924</v>
      </c>
      <c r="BU235" s="2" t="s">
        <v>107</v>
      </c>
      <c r="BV235" s="2" t="s">
        <v>108</v>
      </c>
      <c r="BW235" s="2" t="s">
        <v>801</v>
      </c>
      <c r="BX235" s="2" t="s">
        <v>967</v>
      </c>
      <c r="BY235" s="2" t="s">
        <v>111</v>
      </c>
    </row>
    <row r="236">
      <c r="A236" s="2" t="s">
        <v>968</v>
      </c>
      <c r="B236" s="2" t="s">
        <v>86</v>
      </c>
      <c r="C236" s="2" t="s">
        <v>87</v>
      </c>
      <c r="D236" s="2" t="s">
        <v>88</v>
      </c>
      <c r="E236" s="2" t="s">
        <v>837</v>
      </c>
      <c r="F236" s="2" t="s">
        <v>872</v>
      </c>
      <c r="G236" s="2" t="s">
        <v>873</v>
      </c>
      <c r="H236" s="2" t="s">
        <v>874</v>
      </c>
      <c r="I236" s="2" t="s">
        <v>907</v>
      </c>
      <c r="J236" s="2" t="s">
        <v>908</v>
      </c>
      <c r="K236" s="2" t="s">
        <v>94</v>
      </c>
      <c r="L236" s="3">
        <v>28.5</v>
      </c>
      <c r="M236" s="3">
        <v>29.93</v>
      </c>
      <c r="N236" s="3">
        <v>64.99</v>
      </c>
      <c r="O236" s="2" t="s">
        <v>95</v>
      </c>
      <c r="P236" s="2" t="s">
        <v>215</v>
      </c>
      <c r="Q236" s="2" t="s">
        <v>97</v>
      </c>
      <c r="R236" s="2" t="s">
        <v>98</v>
      </c>
      <c r="S236" s="2" t="s">
        <v>945</v>
      </c>
      <c r="T236" s="2" t="s">
        <v>878</v>
      </c>
      <c r="U236" s="2" t="s">
        <v>100</v>
      </c>
      <c r="V236" s="2" t="s">
        <v>101</v>
      </c>
      <c r="W236" s="2" t="s">
        <v>567</v>
      </c>
      <c r="X236" s="2" t="s">
        <v>98</v>
      </c>
      <c r="Y236" s="2" t="s">
        <v>856</v>
      </c>
      <c r="Z236" s="4">
        <v>383</v>
      </c>
      <c r="AA236" s="4">
        <f>=ROUNDDOWN(153.2,0)</f>
      </c>
      <c r="AB236" s="5">
        <v>2.5</v>
      </c>
      <c r="AC236" s="2" t="s">
        <v>98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22</v>
      </c>
      <c r="BK236" s="8">
        <v>691.77</v>
      </c>
      <c r="BL236" s="2" t="s">
        <v>942</v>
      </c>
      <c r="BM236" s="7"/>
      <c r="BN236" s="7"/>
      <c r="BO236" s="4"/>
      <c r="BP236" s="8"/>
      <c r="BQ236" s="4"/>
      <c r="BR236" s="8"/>
      <c r="BS236" s="7"/>
      <c r="BT236" s="7"/>
      <c r="BU236" s="2" t="s">
        <v>211</v>
      </c>
      <c r="BV236" s="2" t="s">
        <v>95</v>
      </c>
      <c r="BW236" s="2" t="s">
        <v>911</v>
      </c>
      <c r="BX236" s="2" t="s">
        <v>98</v>
      </c>
      <c r="BY236" s="2" t="s">
        <v>111</v>
      </c>
    </row>
    <row r="237">
      <c r="A237" s="2" t="s">
        <v>969</v>
      </c>
      <c r="B237" s="2" t="s">
        <v>86</v>
      </c>
      <c r="C237" s="2" t="s">
        <v>87</v>
      </c>
      <c r="D237" s="2" t="s">
        <v>88</v>
      </c>
      <c r="E237" s="2" t="s">
        <v>837</v>
      </c>
      <c r="F237" s="2" t="s">
        <v>872</v>
      </c>
      <c r="G237" s="2" t="s">
        <v>873</v>
      </c>
      <c r="H237" s="2" t="s">
        <v>874</v>
      </c>
      <c r="I237" s="2" t="s">
        <v>907</v>
      </c>
      <c r="J237" s="2" t="s">
        <v>914</v>
      </c>
      <c r="K237" s="2" t="s">
        <v>94</v>
      </c>
      <c r="L237" s="3">
        <v>32</v>
      </c>
      <c r="M237" s="3">
        <v>33.6</v>
      </c>
      <c r="N237" s="3">
        <v>69.99</v>
      </c>
      <c r="O237" s="2" t="s">
        <v>95</v>
      </c>
      <c r="P237" s="2" t="s">
        <v>215</v>
      </c>
      <c r="Q237" s="2" t="s">
        <v>97</v>
      </c>
      <c r="R237" s="2" t="s">
        <v>98</v>
      </c>
      <c r="S237" s="2" t="s">
        <v>945</v>
      </c>
      <c r="T237" s="2" t="s">
        <v>878</v>
      </c>
      <c r="U237" s="2" t="s">
        <v>100</v>
      </c>
      <c r="V237" s="2" t="s">
        <v>101</v>
      </c>
      <c r="W237" s="2" t="s">
        <v>567</v>
      </c>
      <c r="X237" s="2" t="s">
        <v>98</v>
      </c>
      <c r="Y237" s="2" t="s">
        <v>856</v>
      </c>
      <c r="Z237" s="4">
        <v>350</v>
      </c>
      <c r="AA237" s="4">
        <f>=ROUNDDOWN(269.230769230769,0)</f>
      </c>
      <c r="AB237" s="5">
        <v>1.3</v>
      </c>
      <c r="AC237" s="2" t="s">
        <v>98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41</v>
      </c>
      <c r="BK237" s="8">
        <v>1506.7</v>
      </c>
      <c r="BL237" s="2" t="s">
        <v>970</v>
      </c>
      <c r="BM237" s="7"/>
      <c r="BN237" s="7"/>
      <c r="BO237" s="4"/>
      <c r="BP237" s="8"/>
      <c r="BQ237" s="4"/>
      <c r="BR237" s="8"/>
      <c r="BS237" s="7"/>
      <c r="BT237" s="7"/>
      <c r="BU237" s="2" t="s">
        <v>211</v>
      </c>
      <c r="BV237" s="2" t="s">
        <v>95</v>
      </c>
      <c r="BW237" s="2" t="s">
        <v>911</v>
      </c>
      <c r="BX237" s="2" t="s">
        <v>971</v>
      </c>
      <c r="BY237" s="2" t="s">
        <v>111</v>
      </c>
    </row>
    <row r="238">
      <c r="A238" s="2" t="s">
        <v>972</v>
      </c>
      <c r="B238" s="2" t="s">
        <v>86</v>
      </c>
      <c r="C238" s="2" t="s">
        <v>87</v>
      </c>
      <c r="D238" s="2" t="s">
        <v>88</v>
      </c>
      <c r="E238" s="2" t="s">
        <v>837</v>
      </c>
      <c r="F238" s="2" t="s">
        <v>872</v>
      </c>
      <c r="G238" s="2" t="s">
        <v>873</v>
      </c>
      <c r="H238" s="2" t="s">
        <v>874</v>
      </c>
      <c r="I238" s="2" t="s">
        <v>907</v>
      </c>
      <c r="J238" s="2" t="s">
        <v>918</v>
      </c>
      <c r="K238" s="2" t="s">
        <v>94</v>
      </c>
      <c r="L238" s="3">
        <v>38.5</v>
      </c>
      <c r="M238" s="3">
        <v>40.43</v>
      </c>
      <c r="N238" s="3">
        <v>81.99</v>
      </c>
      <c r="O238" s="2" t="s">
        <v>95</v>
      </c>
      <c r="P238" s="2" t="s">
        <v>215</v>
      </c>
      <c r="Q238" s="2" t="s">
        <v>97</v>
      </c>
      <c r="R238" s="2" t="s">
        <v>98</v>
      </c>
      <c r="S238" s="2" t="s">
        <v>945</v>
      </c>
      <c r="T238" s="2" t="s">
        <v>878</v>
      </c>
      <c r="U238" s="2" t="s">
        <v>100</v>
      </c>
      <c r="V238" s="2" t="s">
        <v>101</v>
      </c>
      <c r="W238" s="2" t="s">
        <v>567</v>
      </c>
      <c r="X238" s="2" t="s">
        <v>98</v>
      </c>
      <c r="Y238" s="2" t="s">
        <v>856</v>
      </c>
      <c r="Z238" s="4">
        <v>325</v>
      </c>
      <c r="AA238" s="4">
        <f>=ROUNDDOWN(141.304347826087,0)</f>
      </c>
      <c r="AB238" s="5">
        <v>2.3</v>
      </c>
      <c r="AC238" s="2" t="s">
        <v>98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47</v>
      </c>
      <c r="BK238" s="8">
        <v>2081.72</v>
      </c>
      <c r="BL238" s="2" t="s">
        <v>942</v>
      </c>
      <c r="BM238" s="7"/>
      <c r="BN238" s="7"/>
      <c r="BO238" s="4"/>
      <c r="BP238" s="8"/>
      <c r="BQ238" s="4"/>
      <c r="BR238" s="8"/>
      <c r="BS238" s="7"/>
      <c r="BT238" s="7"/>
      <c r="BU238" s="2" t="s">
        <v>211</v>
      </c>
      <c r="BV238" s="2" t="s">
        <v>95</v>
      </c>
      <c r="BW238" s="2" t="s">
        <v>911</v>
      </c>
      <c r="BX238" s="2" t="s">
        <v>973</v>
      </c>
      <c r="BY238" s="2" t="s">
        <v>111</v>
      </c>
    </row>
    <row r="239">
      <c r="A239" s="2" t="s">
        <v>974</v>
      </c>
      <c r="B239" s="2" t="s">
        <v>86</v>
      </c>
      <c r="C239" s="2" t="s">
        <v>87</v>
      </c>
      <c r="D239" s="2" t="s">
        <v>88</v>
      </c>
      <c r="E239" s="2" t="s">
        <v>837</v>
      </c>
      <c r="F239" s="2" t="s">
        <v>872</v>
      </c>
      <c r="G239" s="2" t="s">
        <v>873</v>
      </c>
      <c r="H239" s="2" t="s">
        <v>874</v>
      </c>
      <c r="I239" s="2" t="s">
        <v>875</v>
      </c>
      <c r="J239" s="2" t="s">
        <v>876</v>
      </c>
      <c r="K239" s="2" t="s">
        <v>464</v>
      </c>
      <c r="L239" s="3">
        <v>23.75</v>
      </c>
      <c r="M239" s="3">
        <v>24.94</v>
      </c>
      <c r="N239" s="3">
        <v>53.99</v>
      </c>
      <c r="O239" s="2" t="s">
        <v>95</v>
      </c>
      <c r="P239" s="2" t="s">
        <v>150</v>
      </c>
      <c r="Q239" s="2" t="s">
        <v>97</v>
      </c>
      <c r="R239" s="2" t="s">
        <v>98</v>
      </c>
      <c r="S239" s="2" t="s">
        <v>975</v>
      </c>
      <c r="T239" s="2" t="s">
        <v>878</v>
      </c>
      <c r="U239" s="2" t="s">
        <v>100</v>
      </c>
      <c r="V239" s="2" t="s">
        <v>101</v>
      </c>
      <c r="W239" s="2" t="s">
        <v>567</v>
      </c>
      <c r="X239" s="2" t="s">
        <v>98</v>
      </c>
      <c r="Y239" s="2" t="s">
        <v>946</v>
      </c>
      <c r="Z239" s="4">
        <v>65</v>
      </c>
      <c r="AA239" s="4">
        <f>=ROUNDDOWN(21.6666666666667,0)</f>
      </c>
      <c r="AB239" s="5">
        <v>3</v>
      </c>
      <c r="AC239" s="2" t="s">
        <v>98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>
        <v>12</v>
      </c>
      <c r="AW239" s="8">
        <v>494.58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0.073</v>
      </c>
      <c r="BJ239" s="4">
        <v>69</v>
      </c>
      <c r="BK239" s="8">
        <v>1758.19</v>
      </c>
      <c r="BL239" s="2" t="s">
        <v>976</v>
      </c>
      <c r="BM239" s="7"/>
      <c r="BN239" s="7"/>
      <c r="BO239" s="4"/>
      <c r="BP239" s="8"/>
      <c r="BQ239" s="4"/>
      <c r="BR239" s="8"/>
      <c r="BS239" s="7"/>
      <c r="BT239" s="7"/>
      <c r="BU239" s="2" t="s">
        <v>211</v>
      </c>
      <c r="BV239" s="2" t="s">
        <v>95</v>
      </c>
      <c r="BW239" s="2" t="s">
        <v>546</v>
      </c>
      <c r="BX239" s="2" t="s">
        <v>977</v>
      </c>
      <c r="BY239" s="2" t="s">
        <v>111</v>
      </c>
    </row>
    <row r="240">
      <c r="A240" s="2" t="s">
        <v>978</v>
      </c>
      <c r="B240" s="2" t="s">
        <v>86</v>
      </c>
      <c r="C240" s="2" t="s">
        <v>87</v>
      </c>
      <c r="D240" s="2" t="s">
        <v>88</v>
      </c>
      <c r="E240" s="2" t="s">
        <v>837</v>
      </c>
      <c r="F240" s="2" t="s">
        <v>872</v>
      </c>
      <c r="G240" s="2" t="s">
        <v>873</v>
      </c>
      <c r="H240" s="2" t="s">
        <v>874</v>
      </c>
      <c r="I240" s="2" t="s">
        <v>875</v>
      </c>
      <c r="J240" s="2" t="s">
        <v>842</v>
      </c>
      <c r="K240" s="2" t="s">
        <v>464</v>
      </c>
      <c r="L240" s="3">
        <v>27</v>
      </c>
      <c r="M240" s="3">
        <v>28.35</v>
      </c>
      <c r="N240" s="3">
        <v>59.99</v>
      </c>
      <c r="O240" s="2" t="s">
        <v>95</v>
      </c>
      <c r="P240" s="2" t="s">
        <v>150</v>
      </c>
      <c r="Q240" s="2" t="s">
        <v>97</v>
      </c>
      <c r="R240" s="2" t="s">
        <v>98</v>
      </c>
      <c r="S240" s="2" t="s">
        <v>975</v>
      </c>
      <c r="T240" s="2" t="s">
        <v>878</v>
      </c>
      <c r="U240" s="2" t="s">
        <v>100</v>
      </c>
      <c r="V240" s="2" t="s">
        <v>101</v>
      </c>
      <c r="W240" s="2" t="s">
        <v>567</v>
      </c>
      <c r="X240" s="2" t="s">
        <v>98</v>
      </c>
      <c r="Y240" s="2" t="s">
        <v>979</v>
      </c>
      <c r="Z240" s="4">
        <v>252</v>
      </c>
      <c r="AA240" s="4">
        <f>=ROUNDDOWN(28,0)</f>
      </c>
      <c r="AB240" s="5">
        <v>9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143</v>
      </c>
      <c r="BK240" s="8">
        <v>4292.68</v>
      </c>
      <c r="BL240" s="2" t="s">
        <v>980</v>
      </c>
      <c r="BM240" s="7"/>
      <c r="BN240" s="7"/>
      <c r="BO240" s="4"/>
      <c r="BP240" s="8"/>
      <c r="BQ240" s="4"/>
      <c r="BR240" s="8"/>
      <c r="BS240" s="7"/>
      <c r="BT240" s="7"/>
      <c r="BU240" s="2" t="s">
        <v>211</v>
      </c>
      <c r="BV240" s="2" t="s">
        <v>95</v>
      </c>
      <c r="BW240" s="2" t="s">
        <v>606</v>
      </c>
      <c r="BX240" s="2" t="s">
        <v>981</v>
      </c>
      <c r="BY240" s="2" t="s">
        <v>111</v>
      </c>
    </row>
    <row r="241">
      <c r="A241" s="2" t="s">
        <v>982</v>
      </c>
      <c r="B241" s="2" t="s">
        <v>86</v>
      </c>
      <c r="C241" s="2" t="s">
        <v>87</v>
      </c>
      <c r="D241" s="2" t="s">
        <v>88</v>
      </c>
      <c r="E241" s="2" t="s">
        <v>837</v>
      </c>
      <c r="F241" s="2" t="s">
        <v>872</v>
      </c>
      <c r="G241" s="2" t="s">
        <v>873</v>
      </c>
      <c r="H241" s="2" t="s">
        <v>874</v>
      </c>
      <c r="I241" s="2" t="s">
        <v>875</v>
      </c>
      <c r="J241" s="2" t="s">
        <v>848</v>
      </c>
      <c r="K241" s="2" t="s">
        <v>464</v>
      </c>
      <c r="L241" s="3">
        <v>28.5</v>
      </c>
      <c r="M241" s="3">
        <v>29.93</v>
      </c>
      <c r="N241" s="3">
        <v>62.99</v>
      </c>
      <c r="O241" s="2" t="s">
        <v>95</v>
      </c>
      <c r="P241" s="2" t="s">
        <v>150</v>
      </c>
      <c r="Q241" s="2" t="s">
        <v>97</v>
      </c>
      <c r="R241" s="2" t="s">
        <v>98</v>
      </c>
      <c r="S241" s="2" t="s">
        <v>975</v>
      </c>
      <c r="T241" s="2" t="s">
        <v>878</v>
      </c>
      <c r="U241" s="2" t="s">
        <v>100</v>
      </c>
      <c r="V241" s="2" t="s">
        <v>101</v>
      </c>
      <c r="W241" s="2" t="s">
        <v>567</v>
      </c>
      <c r="X241" s="2" t="s">
        <v>98</v>
      </c>
      <c r="Y241" s="2" t="s">
        <v>946</v>
      </c>
      <c r="Z241" s="4">
        <v>130</v>
      </c>
      <c r="AA241" s="4">
        <f>=ROUNDDOWN(26,0)</f>
      </c>
      <c r="AB241" s="5">
        <v>5</v>
      </c>
      <c r="AC241" s="2" t="s">
        <v>98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42</v>
      </c>
      <c r="BK241" s="8">
        <v>1388.36</v>
      </c>
      <c r="BL241" s="2" t="s">
        <v>970</v>
      </c>
      <c r="BM241" s="7"/>
      <c r="BN241" s="7"/>
      <c r="BO241" s="4"/>
      <c r="BP241" s="8"/>
      <c r="BQ241" s="4"/>
      <c r="BR241" s="8"/>
      <c r="BS241" s="7"/>
      <c r="BT241" s="7"/>
      <c r="BU241" s="2" t="s">
        <v>211</v>
      </c>
      <c r="BV241" s="2" t="s">
        <v>95</v>
      </c>
      <c r="BW241" s="2" t="s">
        <v>546</v>
      </c>
      <c r="BX241" s="2" t="s">
        <v>98</v>
      </c>
      <c r="BY241" s="2" t="s">
        <v>111</v>
      </c>
    </row>
    <row r="242">
      <c r="A242" s="2" t="s">
        <v>983</v>
      </c>
      <c r="B242" s="2" t="s">
        <v>86</v>
      </c>
      <c r="C242" s="2" t="s">
        <v>87</v>
      </c>
      <c r="D242" s="2" t="s">
        <v>88</v>
      </c>
      <c r="E242" s="2" t="s">
        <v>837</v>
      </c>
      <c r="F242" s="2" t="s">
        <v>872</v>
      </c>
      <c r="G242" s="2" t="s">
        <v>873</v>
      </c>
      <c r="H242" s="2" t="s">
        <v>874</v>
      </c>
      <c r="I242" s="2" t="s">
        <v>875</v>
      </c>
      <c r="J242" s="2" t="s">
        <v>851</v>
      </c>
      <c r="K242" s="2" t="s">
        <v>464</v>
      </c>
      <c r="L242" s="3">
        <v>29.25</v>
      </c>
      <c r="M242" s="3">
        <v>30.71</v>
      </c>
      <c r="N242" s="3">
        <v>64.99</v>
      </c>
      <c r="O242" s="2" t="s">
        <v>95</v>
      </c>
      <c r="P242" s="2" t="s">
        <v>150</v>
      </c>
      <c r="Q242" s="2" t="s">
        <v>97</v>
      </c>
      <c r="R242" s="2" t="s">
        <v>98</v>
      </c>
      <c r="S242" s="2" t="s">
        <v>975</v>
      </c>
      <c r="T242" s="2" t="s">
        <v>878</v>
      </c>
      <c r="U242" s="2" t="s">
        <v>100</v>
      </c>
      <c r="V242" s="2" t="s">
        <v>101</v>
      </c>
      <c r="W242" s="2" t="s">
        <v>567</v>
      </c>
      <c r="X242" s="2" t="s">
        <v>98</v>
      </c>
      <c r="Y242" s="2" t="s">
        <v>979</v>
      </c>
      <c r="Z242" s="4">
        <v>240</v>
      </c>
      <c r="AA242" s="4">
        <f>=ROUNDDOWN(40,0)</f>
      </c>
      <c r="AB242" s="5">
        <v>6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149</v>
      </c>
      <c r="BK242" s="8">
        <v>4818.56</v>
      </c>
      <c r="BL242" s="2" t="s">
        <v>984</v>
      </c>
      <c r="BM242" s="7"/>
      <c r="BN242" s="7"/>
      <c r="BO242" s="4"/>
      <c r="BP242" s="8"/>
      <c r="BQ242" s="4"/>
      <c r="BR242" s="8"/>
      <c r="BS242" s="7"/>
      <c r="BT242" s="7"/>
      <c r="BU242" s="2" t="s">
        <v>211</v>
      </c>
      <c r="BV242" s="2" t="s">
        <v>95</v>
      </c>
      <c r="BW242" s="2" t="s">
        <v>606</v>
      </c>
      <c r="BX242" s="2" t="s">
        <v>985</v>
      </c>
      <c r="BY242" s="2" t="s">
        <v>111</v>
      </c>
    </row>
    <row r="243">
      <c r="A243" s="2" t="s">
        <v>986</v>
      </c>
      <c r="B243" s="2" t="s">
        <v>86</v>
      </c>
      <c r="C243" s="2" t="s">
        <v>87</v>
      </c>
      <c r="D243" s="2" t="s">
        <v>88</v>
      </c>
      <c r="E243" s="2" t="s">
        <v>837</v>
      </c>
      <c r="F243" s="2" t="s">
        <v>872</v>
      </c>
      <c r="G243" s="2" t="s">
        <v>873</v>
      </c>
      <c r="H243" s="2" t="s">
        <v>874</v>
      </c>
      <c r="I243" s="2" t="s">
        <v>875</v>
      </c>
      <c r="J243" s="2" t="s">
        <v>854</v>
      </c>
      <c r="K243" s="2" t="s">
        <v>464</v>
      </c>
      <c r="L243" s="3">
        <v>32.2</v>
      </c>
      <c r="M243" s="3">
        <v>33.81</v>
      </c>
      <c r="N243" s="3">
        <v>69.99</v>
      </c>
      <c r="O243" s="2" t="s">
        <v>95</v>
      </c>
      <c r="P243" s="2" t="s">
        <v>150</v>
      </c>
      <c r="Q243" s="2" t="s">
        <v>97</v>
      </c>
      <c r="R243" s="2" t="s">
        <v>98</v>
      </c>
      <c r="S243" s="2" t="s">
        <v>975</v>
      </c>
      <c r="T243" s="2" t="s">
        <v>878</v>
      </c>
      <c r="U243" s="2" t="s">
        <v>100</v>
      </c>
      <c r="V243" s="2" t="s">
        <v>101</v>
      </c>
      <c r="W243" s="2" t="s">
        <v>567</v>
      </c>
      <c r="X243" s="2" t="s">
        <v>98</v>
      </c>
      <c r="Y243" s="2" t="s">
        <v>979</v>
      </c>
      <c r="Z243" s="4">
        <v>141</v>
      </c>
      <c r="AA243" s="4">
        <f>=ROUNDDOWN(28.2,0)</f>
      </c>
      <c r="AB243" s="5">
        <v>5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75.6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0.1529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86</v>
      </c>
      <c r="BK243" s="8">
        <v>3014.52</v>
      </c>
      <c r="BL243" s="2" t="s">
        <v>987</v>
      </c>
      <c r="BM243" s="7">
        <v>0.0233</v>
      </c>
      <c r="BN243" s="7">
        <v>0.0251</v>
      </c>
      <c r="BO243" s="4">
        <v>2</v>
      </c>
      <c r="BP243" s="8">
        <v>75.6</v>
      </c>
      <c r="BQ243" s="4"/>
      <c r="BR243" s="8"/>
      <c r="BS243" s="7"/>
      <c r="BT243" s="7"/>
      <c r="BU243" s="2" t="s">
        <v>107</v>
      </c>
      <c r="BV243" s="2" t="s">
        <v>108</v>
      </c>
      <c r="BW243" s="2" t="s">
        <v>606</v>
      </c>
      <c r="BX243" s="2" t="s">
        <v>988</v>
      </c>
      <c r="BY243" s="2" t="s">
        <v>111</v>
      </c>
    </row>
    <row r="244">
      <c r="A244" s="2" t="s">
        <v>989</v>
      </c>
      <c r="B244" s="2" t="s">
        <v>86</v>
      </c>
      <c r="C244" s="2" t="s">
        <v>87</v>
      </c>
      <c r="D244" s="2" t="s">
        <v>88</v>
      </c>
      <c r="E244" s="2" t="s">
        <v>837</v>
      </c>
      <c r="F244" s="2" t="s">
        <v>872</v>
      </c>
      <c r="G244" s="2" t="s">
        <v>873</v>
      </c>
      <c r="H244" s="2" t="s">
        <v>874</v>
      </c>
      <c r="I244" s="2" t="s">
        <v>875</v>
      </c>
      <c r="J244" s="2" t="s">
        <v>896</v>
      </c>
      <c r="K244" s="2" t="s">
        <v>464</v>
      </c>
      <c r="L244" s="3">
        <v>33.5</v>
      </c>
      <c r="M244" s="3">
        <v>35.18</v>
      </c>
      <c r="N244" s="3">
        <v>74.99</v>
      </c>
      <c r="O244" s="2" t="s">
        <v>95</v>
      </c>
      <c r="P244" s="2" t="s">
        <v>150</v>
      </c>
      <c r="Q244" s="2" t="s">
        <v>97</v>
      </c>
      <c r="R244" s="2" t="s">
        <v>98</v>
      </c>
      <c r="S244" s="2" t="s">
        <v>975</v>
      </c>
      <c r="T244" s="2" t="s">
        <v>878</v>
      </c>
      <c r="U244" s="2" t="s">
        <v>100</v>
      </c>
      <c r="V244" s="2" t="s">
        <v>101</v>
      </c>
      <c r="W244" s="2" t="s">
        <v>567</v>
      </c>
      <c r="X244" s="2" t="s">
        <v>98</v>
      </c>
      <c r="Y244" s="2" t="s">
        <v>946</v>
      </c>
      <c r="Z244" s="4">
        <v>177</v>
      </c>
      <c r="AA244" s="4">
        <f>=ROUNDDOWN(88.5,0)</f>
      </c>
      <c r="AB244" s="5">
        <v>2</v>
      </c>
      <c r="AC244" s="2" t="s">
        <v>98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2</v>
      </c>
      <c r="AQ244" s="8">
        <v>73.86</v>
      </c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0.1493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54</v>
      </c>
      <c r="BK244" s="8">
        <v>2029.45</v>
      </c>
      <c r="BL244" s="2" t="s">
        <v>855</v>
      </c>
      <c r="BM244" s="7">
        <v>0.037</v>
      </c>
      <c r="BN244" s="7">
        <v>0.0364</v>
      </c>
      <c r="BO244" s="4">
        <v>2</v>
      </c>
      <c r="BP244" s="8">
        <v>73.86</v>
      </c>
      <c r="BQ244" s="4"/>
      <c r="BR244" s="8"/>
      <c r="BS244" s="7"/>
      <c r="BT244" s="7"/>
      <c r="BU244" s="2" t="s">
        <v>107</v>
      </c>
      <c r="BV244" s="2" t="s">
        <v>108</v>
      </c>
      <c r="BW244" s="2" t="s">
        <v>546</v>
      </c>
      <c r="BX244" s="2" t="s">
        <v>990</v>
      </c>
      <c r="BY244" s="2" t="s">
        <v>111</v>
      </c>
    </row>
    <row r="245">
      <c r="A245" s="2" t="s">
        <v>991</v>
      </c>
      <c r="B245" s="2" t="s">
        <v>86</v>
      </c>
      <c r="C245" s="2" t="s">
        <v>87</v>
      </c>
      <c r="D245" s="2" t="s">
        <v>88</v>
      </c>
      <c r="E245" s="2" t="s">
        <v>837</v>
      </c>
      <c r="F245" s="2" t="s">
        <v>872</v>
      </c>
      <c r="G245" s="2" t="s">
        <v>873</v>
      </c>
      <c r="H245" s="2" t="s">
        <v>874</v>
      </c>
      <c r="I245" s="2" t="s">
        <v>875</v>
      </c>
      <c r="J245" s="2" t="s">
        <v>858</v>
      </c>
      <c r="K245" s="2" t="s">
        <v>464</v>
      </c>
      <c r="L245" s="3">
        <v>34.5</v>
      </c>
      <c r="M245" s="3">
        <v>36.22</v>
      </c>
      <c r="N245" s="3">
        <v>74.99</v>
      </c>
      <c r="O245" s="2" t="s">
        <v>95</v>
      </c>
      <c r="P245" s="2" t="s">
        <v>150</v>
      </c>
      <c r="Q245" s="2" t="s">
        <v>97</v>
      </c>
      <c r="R245" s="2" t="s">
        <v>98</v>
      </c>
      <c r="S245" s="2" t="s">
        <v>975</v>
      </c>
      <c r="T245" s="2" t="s">
        <v>878</v>
      </c>
      <c r="U245" s="2" t="s">
        <v>100</v>
      </c>
      <c r="V245" s="2" t="s">
        <v>101</v>
      </c>
      <c r="W245" s="2" t="s">
        <v>567</v>
      </c>
      <c r="X245" s="2" t="s">
        <v>98</v>
      </c>
      <c r="Y245" s="2" t="s">
        <v>979</v>
      </c>
      <c r="Z245" s="4">
        <v>243</v>
      </c>
      <c r="AA245" s="4">
        <f>=ROUNDDOWN(24.3,0)</f>
      </c>
      <c r="AB245" s="5">
        <v>10</v>
      </c>
      <c r="AC245" s="2" t="s">
        <v>98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4</v>
      </c>
      <c r="AQ245" s="8">
        <v>162</v>
      </c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0.3276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205</v>
      </c>
      <c r="BK245" s="8">
        <v>7933.09</v>
      </c>
      <c r="BL245" s="2" t="s">
        <v>992</v>
      </c>
      <c r="BM245" s="7">
        <v>0.0195</v>
      </c>
      <c r="BN245" s="7">
        <v>0.0204</v>
      </c>
      <c r="BO245" s="4">
        <v>4</v>
      </c>
      <c r="BP245" s="8">
        <v>162</v>
      </c>
      <c r="BQ245" s="4"/>
      <c r="BR245" s="8"/>
      <c r="BS245" s="7"/>
      <c r="BT245" s="7"/>
      <c r="BU245" s="2" t="s">
        <v>107</v>
      </c>
      <c r="BV245" s="2" t="s">
        <v>108</v>
      </c>
      <c r="BW245" s="2" t="s">
        <v>606</v>
      </c>
      <c r="BX245" s="2" t="s">
        <v>993</v>
      </c>
      <c r="BY245" s="2" t="s">
        <v>111</v>
      </c>
    </row>
    <row r="246">
      <c r="A246" s="2" t="s">
        <v>994</v>
      </c>
      <c r="B246" s="2" t="s">
        <v>86</v>
      </c>
      <c r="C246" s="2" t="s">
        <v>87</v>
      </c>
      <c r="D246" s="2" t="s">
        <v>88</v>
      </c>
      <c r="E246" s="2" t="s">
        <v>837</v>
      </c>
      <c r="F246" s="2" t="s">
        <v>872</v>
      </c>
      <c r="G246" s="2" t="s">
        <v>873</v>
      </c>
      <c r="H246" s="2" t="s">
        <v>874</v>
      </c>
      <c r="I246" s="2" t="s">
        <v>875</v>
      </c>
      <c r="J246" s="2" t="s">
        <v>903</v>
      </c>
      <c r="K246" s="2" t="s">
        <v>464</v>
      </c>
      <c r="L246" s="3">
        <v>38.4</v>
      </c>
      <c r="M246" s="3">
        <v>40.32</v>
      </c>
      <c r="N246" s="3">
        <v>79.99</v>
      </c>
      <c r="O246" s="2" t="s">
        <v>95</v>
      </c>
      <c r="P246" s="2" t="s">
        <v>150</v>
      </c>
      <c r="Q246" s="2" t="s">
        <v>97</v>
      </c>
      <c r="R246" s="2" t="s">
        <v>98</v>
      </c>
      <c r="S246" s="2" t="s">
        <v>975</v>
      </c>
      <c r="T246" s="2" t="s">
        <v>878</v>
      </c>
      <c r="U246" s="2" t="s">
        <v>100</v>
      </c>
      <c r="V246" s="2" t="s">
        <v>101</v>
      </c>
      <c r="W246" s="2" t="s">
        <v>567</v>
      </c>
      <c r="X246" s="2" t="s">
        <v>98</v>
      </c>
      <c r="Y246" s="2" t="s">
        <v>979</v>
      </c>
      <c r="Z246" s="4">
        <v>104</v>
      </c>
      <c r="AA246" s="4">
        <f>=ROUNDDOWN(26,0)</f>
      </c>
      <c r="AB246" s="5">
        <v>4</v>
      </c>
      <c r="AC246" s="2" t="s">
        <v>98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4</v>
      </c>
      <c r="AQ246" s="8">
        <v>183.12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0.3703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101</v>
      </c>
      <c r="BK246" s="8">
        <v>4316.12</v>
      </c>
      <c r="BL246" s="2" t="s">
        <v>995</v>
      </c>
      <c r="BM246" s="7">
        <v>0.0396</v>
      </c>
      <c r="BN246" s="7">
        <v>0.0424</v>
      </c>
      <c r="BO246" s="4">
        <v>4</v>
      </c>
      <c r="BP246" s="8">
        <v>183.12</v>
      </c>
      <c r="BQ246" s="4"/>
      <c r="BR246" s="8"/>
      <c r="BS246" s="7"/>
      <c r="BT246" s="7"/>
      <c r="BU246" s="2" t="s">
        <v>107</v>
      </c>
      <c r="BV246" s="2" t="s">
        <v>108</v>
      </c>
      <c r="BW246" s="2" t="s">
        <v>606</v>
      </c>
      <c r="BX246" s="2" t="s">
        <v>981</v>
      </c>
      <c r="BY246" s="2" t="s">
        <v>111</v>
      </c>
    </row>
    <row r="247">
      <c r="A247" s="2" t="s">
        <v>996</v>
      </c>
      <c r="B247" s="2" t="s">
        <v>86</v>
      </c>
      <c r="C247" s="2" t="s">
        <v>87</v>
      </c>
      <c r="D247" s="2" t="s">
        <v>88</v>
      </c>
      <c r="E247" s="2" t="s">
        <v>837</v>
      </c>
      <c r="F247" s="2" t="s">
        <v>872</v>
      </c>
      <c r="G247" s="2" t="s">
        <v>873</v>
      </c>
      <c r="H247" s="2" t="s">
        <v>874</v>
      </c>
      <c r="I247" s="2" t="s">
        <v>875</v>
      </c>
      <c r="J247" s="2" t="s">
        <v>876</v>
      </c>
      <c r="K247" s="2" t="s">
        <v>997</v>
      </c>
      <c r="L247" s="3">
        <v>23.75</v>
      </c>
      <c r="M247" s="3">
        <v>24.94</v>
      </c>
      <c r="N247" s="3">
        <v>53.99</v>
      </c>
      <c r="O247" s="2" t="s">
        <v>95</v>
      </c>
      <c r="P247" s="2" t="s">
        <v>150</v>
      </c>
      <c r="Q247" s="2" t="s">
        <v>97</v>
      </c>
      <c r="R247" s="2" t="s">
        <v>98</v>
      </c>
      <c r="S247" s="2" t="s">
        <v>998</v>
      </c>
      <c r="T247" s="2" t="s">
        <v>878</v>
      </c>
      <c r="U247" s="2" t="s">
        <v>100</v>
      </c>
      <c r="V247" s="2" t="s">
        <v>101</v>
      </c>
      <c r="W247" s="2" t="s">
        <v>567</v>
      </c>
      <c r="X247" s="2" t="s">
        <v>98</v>
      </c>
      <c r="Y247" s="2" t="s">
        <v>946</v>
      </c>
      <c r="Z247" s="4">
        <v>270</v>
      </c>
      <c r="AA247" s="4">
        <f>=ROUNDDOWN(19.2857142857143,0)</f>
      </c>
      <c r="AB247" s="5">
        <v>14</v>
      </c>
      <c r="AC247" s="2" t="s">
        <v>250</v>
      </c>
      <c r="AD247" s="4">
        <v>60</v>
      </c>
      <c r="AE247" s="4">
        <v>330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>
        <v>1</v>
      </c>
      <c r="AW247" s="8">
        <v>32.4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0.0048</v>
      </c>
      <c r="BJ247" s="4">
        <v>78</v>
      </c>
      <c r="BK247" s="8">
        <v>2015.96</v>
      </c>
      <c r="BL247" s="2" t="s">
        <v>954</v>
      </c>
      <c r="BM247" s="7"/>
      <c r="BN247" s="7"/>
      <c r="BO247" s="4"/>
      <c r="BP247" s="8"/>
      <c r="BQ247" s="4"/>
      <c r="BR247" s="8"/>
      <c r="BS247" s="7"/>
      <c r="BT247" s="7"/>
      <c r="BU247" s="2" t="s">
        <v>211</v>
      </c>
      <c r="BV247" s="2" t="s">
        <v>95</v>
      </c>
      <c r="BW247" s="2" t="s">
        <v>947</v>
      </c>
      <c r="BX247" s="2" t="s">
        <v>999</v>
      </c>
      <c r="BY247" s="2" t="s">
        <v>111</v>
      </c>
    </row>
    <row r="248">
      <c r="A248" s="2" t="s">
        <v>1000</v>
      </c>
      <c r="B248" s="2" t="s">
        <v>86</v>
      </c>
      <c r="C248" s="2" t="s">
        <v>87</v>
      </c>
      <c r="D248" s="2" t="s">
        <v>88</v>
      </c>
      <c r="E248" s="2" t="s">
        <v>837</v>
      </c>
      <c r="F248" s="2" t="s">
        <v>872</v>
      </c>
      <c r="G248" s="2" t="s">
        <v>873</v>
      </c>
      <c r="H248" s="2" t="s">
        <v>874</v>
      </c>
      <c r="I248" s="2" t="s">
        <v>875</v>
      </c>
      <c r="J248" s="2" t="s">
        <v>842</v>
      </c>
      <c r="K248" s="2" t="s">
        <v>997</v>
      </c>
      <c r="L248" s="3">
        <v>27</v>
      </c>
      <c r="M248" s="3">
        <v>28.35</v>
      </c>
      <c r="N248" s="3">
        <v>59.99</v>
      </c>
      <c r="O248" s="2" t="s">
        <v>95</v>
      </c>
      <c r="P248" s="2" t="s">
        <v>150</v>
      </c>
      <c r="Q248" s="2" t="s">
        <v>97</v>
      </c>
      <c r="R248" s="2" t="s">
        <v>98</v>
      </c>
      <c r="S248" s="2" t="s">
        <v>998</v>
      </c>
      <c r="T248" s="2" t="s">
        <v>878</v>
      </c>
      <c r="U248" s="2" t="s">
        <v>100</v>
      </c>
      <c r="V248" s="2" t="s">
        <v>101</v>
      </c>
      <c r="W248" s="2" t="s">
        <v>567</v>
      </c>
      <c r="X248" s="2" t="s">
        <v>98</v>
      </c>
      <c r="Y248" s="2" t="s">
        <v>979</v>
      </c>
      <c r="Z248" s="4">
        <v>480</v>
      </c>
      <c r="AA248" s="4">
        <f>=ROUNDDOWN(32,0)</f>
      </c>
      <c r="AB248" s="5">
        <v>15</v>
      </c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32.4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208</v>
      </c>
      <c r="BK248" s="8">
        <v>6242.2</v>
      </c>
      <c r="BL248" s="2" t="s">
        <v>1001</v>
      </c>
      <c r="BM248" s="7">
        <v>0.0048</v>
      </c>
      <c r="BN248" s="7">
        <v>0.0052</v>
      </c>
      <c r="BO248" s="4">
        <v>1</v>
      </c>
      <c r="BP248" s="8">
        <v>32.4</v>
      </c>
      <c r="BQ248" s="4"/>
      <c r="BR248" s="8"/>
      <c r="BS248" s="7"/>
      <c r="BT248" s="7"/>
      <c r="BU248" s="2" t="s">
        <v>107</v>
      </c>
      <c r="BV248" s="2" t="s">
        <v>108</v>
      </c>
      <c r="BW248" s="2" t="s">
        <v>606</v>
      </c>
      <c r="BX248" s="2" t="s">
        <v>1002</v>
      </c>
      <c r="BY248" s="2" t="s">
        <v>111</v>
      </c>
    </row>
    <row r="249">
      <c r="A249" s="2" t="s">
        <v>1003</v>
      </c>
      <c r="B249" s="2" t="s">
        <v>86</v>
      </c>
      <c r="C249" s="2" t="s">
        <v>87</v>
      </c>
      <c r="D249" s="2" t="s">
        <v>88</v>
      </c>
      <c r="E249" s="2" t="s">
        <v>837</v>
      </c>
      <c r="F249" s="2" t="s">
        <v>872</v>
      </c>
      <c r="G249" s="2" t="s">
        <v>873</v>
      </c>
      <c r="H249" s="2" t="s">
        <v>874</v>
      </c>
      <c r="I249" s="2" t="s">
        <v>875</v>
      </c>
      <c r="J249" s="2" t="s">
        <v>848</v>
      </c>
      <c r="K249" s="2" t="s">
        <v>997</v>
      </c>
      <c r="L249" s="3">
        <v>28.5</v>
      </c>
      <c r="M249" s="3">
        <v>29.93</v>
      </c>
      <c r="N249" s="3">
        <v>62.99</v>
      </c>
      <c r="O249" s="2" t="s">
        <v>95</v>
      </c>
      <c r="P249" s="2" t="s">
        <v>150</v>
      </c>
      <c r="Q249" s="2" t="s">
        <v>97</v>
      </c>
      <c r="R249" s="2" t="s">
        <v>98</v>
      </c>
      <c r="S249" s="2" t="s">
        <v>998</v>
      </c>
      <c r="T249" s="2" t="s">
        <v>878</v>
      </c>
      <c r="U249" s="2" t="s">
        <v>100</v>
      </c>
      <c r="V249" s="2" t="s">
        <v>101</v>
      </c>
      <c r="W249" s="2" t="s">
        <v>567</v>
      </c>
      <c r="X249" s="2" t="s">
        <v>98</v>
      </c>
      <c r="Y249" s="2" t="s">
        <v>946</v>
      </c>
      <c r="Z249" s="4">
        <v>169</v>
      </c>
      <c r="AA249" s="4">
        <f>=ROUNDDOWN(18.7777777777778,0)</f>
      </c>
      <c r="AB249" s="5">
        <v>9</v>
      </c>
      <c r="AC249" s="2" t="s">
        <v>250</v>
      </c>
      <c r="AD249" s="4">
        <v>60</v>
      </c>
      <c r="AE249" s="4">
        <v>220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55</v>
      </c>
      <c r="BK249" s="8">
        <v>1707.75</v>
      </c>
      <c r="BL249" s="2" t="s">
        <v>919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108</v>
      </c>
      <c r="BW249" s="2" t="s">
        <v>546</v>
      </c>
      <c r="BX249" s="2" t="s">
        <v>1004</v>
      </c>
      <c r="BY249" s="2" t="s">
        <v>111</v>
      </c>
    </row>
    <row r="250">
      <c r="A250" s="2" t="s">
        <v>1005</v>
      </c>
      <c r="B250" s="2" t="s">
        <v>86</v>
      </c>
      <c r="C250" s="2" t="s">
        <v>87</v>
      </c>
      <c r="D250" s="2" t="s">
        <v>88</v>
      </c>
      <c r="E250" s="2" t="s">
        <v>837</v>
      </c>
      <c r="F250" s="2" t="s">
        <v>872</v>
      </c>
      <c r="G250" s="2" t="s">
        <v>873</v>
      </c>
      <c r="H250" s="2" t="s">
        <v>874</v>
      </c>
      <c r="I250" s="2" t="s">
        <v>875</v>
      </c>
      <c r="J250" s="2" t="s">
        <v>851</v>
      </c>
      <c r="K250" s="2" t="s">
        <v>997</v>
      </c>
      <c r="L250" s="3">
        <v>29.25</v>
      </c>
      <c r="M250" s="3">
        <v>30.71</v>
      </c>
      <c r="N250" s="3">
        <v>64.99</v>
      </c>
      <c r="O250" s="2" t="s">
        <v>95</v>
      </c>
      <c r="P250" s="2" t="s">
        <v>150</v>
      </c>
      <c r="Q250" s="2" t="s">
        <v>97</v>
      </c>
      <c r="R250" s="2" t="s">
        <v>98</v>
      </c>
      <c r="S250" s="2" t="s">
        <v>998</v>
      </c>
      <c r="T250" s="2" t="s">
        <v>878</v>
      </c>
      <c r="U250" s="2" t="s">
        <v>100</v>
      </c>
      <c r="V250" s="2" t="s">
        <v>101</v>
      </c>
      <c r="W250" s="2" t="s">
        <v>567</v>
      </c>
      <c r="X250" s="2" t="s">
        <v>98</v>
      </c>
      <c r="Y250" s="2" t="s">
        <v>979</v>
      </c>
      <c r="Z250" s="4">
        <v>523</v>
      </c>
      <c r="AA250" s="4">
        <f>=ROUNDDOWN(21.7916666666667,0)</f>
      </c>
      <c r="AB250" s="5">
        <v>24</v>
      </c>
      <c r="AC250" s="2" t="s">
        <v>250</v>
      </c>
      <c r="AD250" s="4">
        <v>462</v>
      </c>
      <c r="AE250" s="4">
        <v>804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179</v>
      </c>
      <c r="BK250" s="8">
        <v>5893.81</v>
      </c>
      <c r="BL250" s="2" t="s">
        <v>1006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108</v>
      </c>
      <c r="BW250" s="2" t="s">
        <v>606</v>
      </c>
      <c r="BX250" s="2" t="s">
        <v>1007</v>
      </c>
      <c r="BY250" s="2" t="s">
        <v>111</v>
      </c>
    </row>
    <row r="251">
      <c r="A251" s="2" t="s">
        <v>1008</v>
      </c>
      <c r="B251" s="2" t="s">
        <v>86</v>
      </c>
      <c r="C251" s="2" t="s">
        <v>87</v>
      </c>
      <c r="D251" s="2" t="s">
        <v>88</v>
      </c>
      <c r="E251" s="2" t="s">
        <v>837</v>
      </c>
      <c r="F251" s="2" t="s">
        <v>872</v>
      </c>
      <c r="G251" s="2" t="s">
        <v>873</v>
      </c>
      <c r="H251" s="2" t="s">
        <v>874</v>
      </c>
      <c r="I251" s="2" t="s">
        <v>875</v>
      </c>
      <c r="J251" s="2" t="s">
        <v>854</v>
      </c>
      <c r="K251" s="2" t="s">
        <v>997</v>
      </c>
      <c r="L251" s="3">
        <v>32.2</v>
      </c>
      <c r="M251" s="3">
        <v>33.81</v>
      </c>
      <c r="N251" s="3">
        <v>69.99</v>
      </c>
      <c r="O251" s="2" t="s">
        <v>95</v>
      </c>
      <c r="P251" s="2" t="s">
        <v>150</v>
      </c>
      <c r="Q251" s="2" t="s">
        <v>97</v>
      </c>
      <c r="R251" s="2" t="s">
        <v>98</v>
      </c>
      <c r="S251" s="2" t="s">
        <v>998</v>
      </c>
      <c r="T251" s="2" t="s">
        <v>878</v>
      </c>
      <c r="U251" s="2" t="s">
        <v>100</v>
      </c>
      <c r="V251" s="2" t="s">
        <v>101</v>
      </c>
      <c r="W251" s="2" t="s">
        <v>567</v>
      </c>
      <c r="X251" s="2" t="s">
        <v>98</v>
      </c>
      <c r="Y251" s="2" t="s">
        <v>979</v>
      </c>
      <c r="Z251" s="4">
        <v>244</v>
      </c>
      <c r="AA251" s="4">
        <f>=ROUNDDOWN(14.3529411764706,0)</f>
      </c>
      <c r="AB251" s="5">
        <v>17</v>
      </c>
      <c r="AC251" s="2" t="s">
        <v>250</v>
      </c>
      <c r="AD251" s="4">
        <v>84</v>
      </c>
      <c r="AE251" s="4">
        <v>444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163</v>
      </c>
      <c r="BK251" s="8">
        <v>5765.46</v>
      </c>
      <c r="BL251" s="2" t="s">
        <v>984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95</v>
      </c>
      <c r="BW251" s="2" t="s">
        <v>606</v>
      </c>
      <c r="BX251" s="2" t="s">
        <v>98</v>
      </c>
      <c r="BY251" s="2" t="s">
        <v>111</v>
      </c>
    </row>
    <row r="252">
      <c r="A252" s="2" t="s">
        <v>1009</v>
      </c>
      <c r="B252" s="2" t="s">
        <v>86</v>
      </c>
      <c r="C252" s="2" t="s">
        <v>87</v>
      </c>
      <c r="D252" s="2" t="s">
        <v>88</v>
      </c>
      <c r="E252" s="2" t="s">
        <v>837</v>
      </c>
      <c r="F252" s="2" t="s">
        <v>872</v>
      </c>
      <c r="G252" s="2" t="s">
        <v>873</v>
      </c>
      <c r="H252" s="2" t="s">
        <v>874</v>
      </c>
      <c r="I252" s="2" t="s">
        <v>875</v>
      </c>
      <c r="J252" s="2" t="s">
        <v>896</v>
      </c>
      <c r="K252" s="2" t="s">
        <v>997</v>
      </c>
      <c r="L252" s="3">
        <v>33.5</v>
      </c>
      <c r="M252" s="3">
        <v>35.18</v>
      </c>
      <c r="N252" s="3">
        <v>74.99</v>
      </c>
      <c r="O252" s="2" t="s">
        <v>95</v>
      </c>
      <c r="P252" s="2" t="s">
        <v>150</v>
      </c>
      <c r="Q252" s="2" t="s">
        <v>97</v>
      </c>
      <c r="R252" s="2" t="s">
        <v>98</v>
      </c>
      <c r="S252" s="2" t="s">
        <v>998</v>
      </c>
      <c r="T252" s="2" t="s">
        <v>878</v>
      </c>
      <c r="U252" s="2" t="s">
        <v>100</v>
      </c>
      <c r="V252" s="2" t="s">
        <v>101</v>
      </c>
      <c r="W252" s="2" t="s">
        <v>567</v>
      </c>
      <c r="X252" s="2" t="s">
        <v>98</v>
      </c>
      <c r="Y252" s="2" t="s">
        <v>946</v>
      </c>
      <c r="Z252" s="4">
        <v>330</v>
      </c>
      <c r="AA252" s="4">
        <f>=ROUNDDOWN(30,0)</f>
      </c>
      <c r="AB252" s="5">
        <v>11</v>
      </c>
      <c r="AC252" s="2" t="s">
        <v>309</v>
      </c>
      <c r="AD252" s="4">
        <v>56</v>
      </c>
      <c r="AE252" s="4">
        <v>104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119</v>
      </c>
      <c r="BK252" s="8">
        <v>4451.09</v>
      </c>
      <c r="BL252" s="2" t="s">
        <v>954</v>
      </c>
      <c r="BM252" s="7"/>
      <c r="BN252" s="7"/>
      <c r="BO252" s="4"/>
      <c r="BP252" s="8"/>
      <c r="BQ252" s="4"/>
      <c r="BR252" s="8"/>
      <c r="BS252" s="7"/>
      <c r="BT252" s="7"/>
      <c r="BU252" s="2" t="s">
        <v>211</v>
      </c>
      <c r="BV252" s="2" t="s">
        <v>95</v>
      </c>
      <c r="BW252" s="2" t="s">
        <v>546</v>
      </c>
      <c r="BX252" s="2" t="s">
        <v>999</v>
      </c>
      <c r="BY252" s="2" t="s">
        <v>111</v>
      </c>
    </row>
    <row r="253">
      <c r="A253" s="2" t="s">
        <v>1010</v>
      </c>
      <c r="B253" s="2" t="s">
        <v>86</v>
      </c>
      <c r="C253" s="2" t="s">
        <v>87</v>
      </c>
      <c r="D253" s="2" t="s">
        <v>88</v>
      </c>
      <c r="E253" s="2" t="s">
        <v>837</v>
      </c>
      <c r="F253" s="2" t="s">
        <v>872</v>
      </c>
      <c r="G253" s="2" t="s">
        <v>873</v>
      </c>
      <c r="H253" s="2" t="s">
        <v>874</v>
      </c>
      <c r="I253" s="2" t="s">
        <v>875</v>
      </c>
      <c r="J253" s="2" t="s">
        <v>858</v>
      </c>
      <c r="K253" s="2" t="s">
        <v>997</v>
      </c>
      <c r="L253" s="3">
        <v>34.5</v>
      </c>
      <c r="M253" s="3">
        <v>36.22</v>
      </c>
      <c r="N253" s="3">
        <v>74.99</v>
      </c>
      <c r="O253" s="2" t="s">
        <v>95</v>
      </c>
      <c r="P253" s="2" t="s">
        <v>123</v>
      </c>
      <c r="Q253" s="2" t="s">
        <v>97</v>
      </c>
      <c r="R253" s="2" t="s">
        <v>98</v>
      </c>
      <c r="S253" s="2" t="s">
        <v>998</v>
      </c>
      <c r="T253" s="2" t="s">
        <v>878</v>
      </c>
      <c r="U253" s="2" t="s">
        <v>100</v>
      </c>
      <c r="V253" s="2" t="s">
        <v>101</v>
      </c>
      <c r="W253" s="2" t="s">
        <v>567</v>
      </c>
      <c r="X253" s="2" t="s">
        <v>98</v>
      </c>
      <c r="Y253" s="2" t="s">
        <v>979</v>
      </c>
      <c r="Z253" s="4">
        <v>209</v>
      </c>
      <c r="AA253" s="4">
        <f>=ROUNDDOWN(8.70833333333333,0)</f>
      </c>
      <c r="AB253" s="5">
        <v>24</v>
      </c>
      <c r="AC253" s="2" t="s">
        <v>250</v>
      </c>
      <c r="AD253" s="4">
        <v>30</v>
      </c>
      <c r="AE253" s="4">
        <v>678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238</v>
      </c>
      <c r="BK253" s="8">
        <v>9216.78</v>
      </c>
      <c r="BL253" s="2" t="s">
        <v>1006</v>
      </c>
      <c r="BM253" s="7"/>
      <c r="BN253" s="7"/>
      <c r="BO253" s="4"/>
      <c r="BP253" s="8"/>
      <c r="BQ253" s="4"/>
      <c r="BR253" s="8"/>
      <c r="BS253" s="7"/>
      <c r="BT253" s="7"/>
      <c r="BU253" s="2" t="s">
        <v>211</v>
      </c>
      <c r="BV253" s="2" t="s">
        <v>95</v>
      </c>
      <c r="BW253" s="2" t="s">
        <v>606</v>
      </c>
      <c r="BX253" s="2" t="s">
        <v>862</v>
      </c>
      <c r="BY253" s="2" t="s">
        <v>111</v>
      </c>
    </row>
    <row r="254">
      <c r="A254" s="2" t="s">
        <v>1011</v>
      </c>
      <c r="B254" s="2" t="s">
        <v>86</v>
      </c>
      <c r="C254" s="2" t="s">
        <v>87</v>
      </c>
      <c r="D254" s="2" t="s">
        <v>88</v>
      </c>
      <c r="E254" s="2" t="s">
        <v>837</v>
      </c>
      <c r="F254" s="2" t="s">
        <v>872</v>
      </c>
      <c r="G254" s="2" t="s">
        <v>873</v>
      </c>
      <c r="H254" s="2" t="s">
        <v>874</v>
      </c>
      <c r="I254" s="2" t="s">
        <v>875</v>
      </c>
      <c r="J254" s="2" t="s">
        <v>903</v>
      </c>
      <c r="K254" s="2" t="s">
        <v>997</v>
      </c>
      <c r="L254" s="3">
        <v>38.4</v>
      </c>
      <c r="M254" s="3">
        <v>40.32</v>
      </c>
      <c r="N254" s="3">
        <v>79.99</v>
      </c>
      <c r="O254" s="2" t="s">
        <v>95</v>
      </c>
      <c r="P254" s="2" t="s">
        <v>699</v>
      </c>
      <c r="Q254" s="2" t="s">
        <v>97</v>
      </c>
      <c r="R254" s="2" t="s">
        <v>98</v>
      </c>
      <c r="S254" s="2" t="s">
        <v>998</v>
      </c>
      <c r="T254" s="2" t="s">
        <v>878</v>
      </c>
      <c r="U254" s="2" t="s">
        <v>100</v>
      </c>
      <c r="V254" s="2" t="s">
        <v>101</v>
      </c>
      <c r="W254" s="2" t="s">
        <v>567</v>
      </c>
      <c r="X254" s="2" t="s">
        <v>98</v>
      </c>
      <c r="Y254" s="2" t="s">
        <v>979</v>
      </c>
      <c r="Z254" s="4">
        <v>266</v>
      </c>
      <c r="AA254" s="4">
        <f>=ROUNDDOWN(25.5769230769231,0)</f>
      </c>
      <c r="AB254" s="5">
        <v>10.4</v>
      </c>
      <c r="AC254" s="2" t="s">
        <v>250</v>
      </c>
      <c r="AD254" s="4">
        <v>126</v>
      </c>
      <c r="AE254" s="4">
        <v>282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102</v>
      </c>
      <c r="BK254" s="8">
        <v>4331.57</v>
      </c>
      <c r="BL254" s="2" t="s">
        <v>1006</v>
      </c>
      <c r="BM254" s="7"/>
      <c r="BN254" s="7"/>
      <c r="BO254" s="4"/>
      <c r="BP254" s="8"/>
      <c r="BQ254" s="4"/>
      <c r="BR254" s="8"/>
      <c r="BS254" s="7"/>
      <c r="BT254" s="7"/>
      <c r="BU254" s="2" t="s">
        <v>107</v>
      </c>
      <c r="BV254" s="2" t="s">
        <v>108</v>
      </c>
      <c r="BW254" s="2" t="s">
        <v>606</v>
      </c>
      <c r="BX254" s="2" t="s">
        <v>1002</v>
      </c>
      <c r="BY254" s="2" t="s">
        <v>111</v>
      </c>
    </row>
    <row r="255">
      <c r="A255" s="2" t="s">
        <v>1012</v>
      </c>
      <c r="B255" s="2" t="s">
        <v>86</v>
      </c>
      <c r="C255" s="2" t="s">
        <v>87</v>
      </c>
      <c r="D255" s="2" t="s">
        <v>88</v>
      </c>
      <c r="E255" s="2" t="s">
        <v>837</v>
      </c>
      <c r="F255" s="2" t="s">
        <v>872</v>
      </c>
      <c r="G255" s="2" t="s">
        <v>873</v>
      </c>
      <c r="H255" s="2" t="s">
        <v>874</v>
      </c>
      <c r="I255" s="2" t="s">
        <v>875</v>
      </c>
      <c r="J255" s="2" t="s">
        <v>842</v>
      </c>
      <c r="K255" s="2" t="s">
        <v>247</v>
      </c>
      <c r="L255" s="3">
        <v>27</v>
      </c>
      <c r="M255" s="3">
        <v>28.35</v>
      </c>
      <c r="N255" s="3">
        <v>59.99</v>
      </c>
      <c r="O255" s="2" t="s">
        <v>95</v>
      </c>
      <c r="P255" s="2" t="s">
        <v>215</v>
      </c>
      <c r="Q255" s="2" t="s">
        <v>97</v>
      </c>
      <c r="R255" s="2" t="s">
        <v>98</v>
      </c>
      <c r="S255" s="2" t="s">
        <v>98</v>
      </c>
      <c r="T255" s="2" t="s">
        <v>878</v>
      </c>
      <c r="U255" s="2" t="s">
        <v>100</v>
      </c>
      <c r="V255" s="2" t="s">
        <v>101</v>
      </c>
      <c r="W255" s="2" t="s">
        <v>567</v>
      </c>
      <c r="X255" s="2" t="s">
        <v>98</v>
      </c>
      <c r="Y255" s="2" t="s">
        <v>1013</v>
      </c>
      <c r="Z255" s="4">
        <v>146</v>
      </c>
      <c r="AA255" s="4">
        <f>=ROUNDDOWN(243.333333333333,0)</f>
      </c>
      <c r="AB255" s="5">
        <v>0.6</v>
      </c>
      <c r="AC255" s="2" t="s">
        <v>98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 t="s">
        <v>98</v>
      </c>
      <c r="BJ255" s="4">
        <v>13</v>
      </c>
      <c r="BK255" s="8">
        <v>380.43</v>
      </c>
      <c r="BL255" s="2" t="s">
        <v>1014</v>
      </c>
      <c r="BM255" s="7"/>
      <c r="BN255" s="7"/>
      <c r="BO255" s="4"/>
      <c r="BP255" s="8"/>
      <c r="BQ255" s="4"/>
      <c r="BR255" s="8"/>
      <c r="BS255" s="7"/>
      <c r="BT255" s="7"/>
      <c r="BU255" s="2" t="s">
        <v>211</v>
      </c>
      <c r="BV255" s="2" t="s">
        <v>95</v>
      </c>
      <c r="BW255" s="2" t="s">
        <v>911</v>
      </c>
      <c r="BX255" s="2" t="s">
        <v>916</v>
      </c>
      <c r="BY255" s="2" t="s">
        <v>111</v>
      </c>
    </row>
    <row r="256">
      <c r="A256" s="2" t="s">
        <v>1015</v>
      </c>
      <c r="B256" s="2" t="s">
        <v>86</v>
      </c>
      <c r="C256" s="2" t="s">
        <v>87</v>
      </c>
      <c r="D256" s="2" t="s">
        <v>88</v>
      </c>
      <c r="E256" s="2" t="s">
        <v>837</v>
      </c>
      <c r="F256" s="2" t="s">
        <v>872</v>
      </c>
      <c r="G256" s="2" t="s">
        <v>873</v>
      </c>
      <c r="H256" s="2" t="s">
        <v>874</v>
      </c>
      <c r="I256" s="2" t="s">
        <v>875</v>
      </c>
      <c r="J256" s="2" t="s">
        <v>851</v>
      </c>
      <c r="K256" s="2" t="s">
        <v>247</v>
      </c>
      <c r="L256" s="3">
        <v>29.25</v>
      </c>
      <c r="M256" s="3">
        <v>30.71</v>
      </c>
      <c r="N256" s="3">
        <v>64.99</v>
      </c>
      <c r="O256" s="2" t="s">
        <v>95</v>
      </c>
      <c r="P256" s="2" t="s">
        <v>215</v>
      </c>
      <c r="Q256" s="2" t="s">
        <v>97</v>
      </c>
      <c r="R256" s="2" t="s">
        <v>98</v>
      </c>
      <c r="S256" s="2" t="s">
        <v>98</v>
      </c>
      <c r="T256" s="2" t="s">
        <v>878</v>
      </c>
      <c r="U256" s="2" t="s">
        <v>100</v>
      </c>
      <c r="V256" s="2" t="s">
        <v>101</v>
      </c>
      <c r="W256" s="2" t="s">
        <v>567</v>
      </c>
      <c r="X256" s="2" t="s">
        <v>98</v>
      </c>
      <c r="Y256" s="2" t="s">
        <v>1013</v>
      </c>
      <c r="Z256" s="4">
        <v>165</v>
      </c>
      <c r="AA256" s="4">
        <f>=ROUNDDOWN(97.0588235294118,0)</f>
      </c>
      <c r="AB256" s="5">
        <v>1.7</v>
      </c>
      <c r="AC256" s="2" t="s">
        <v>98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14</v>
      </c>
      <c r="BK256" s="8">
        <v>433.51</v>
      </c>
      <c r="BL256" s="2" t="s">
        <v>1016</v>
      </c>
      <c r="BM256" s="7"/>
      <c r="BN256" s="7"/>
      <c r="BO256" s="4"/>
      <c r="BP256" s="8"/>
      <c r="BQ256" s="4"/>
      <c r="BR256" s="8"/>
      <c r="BS256" s="7"/>
      <c r="BT256" s="7"/>
      <c r="BU256" s="2" t="s">
        <v>211</v>
      </c>
      <c r="BV256" s="2" t="s">
        <v>95</v>
      </c>
      <c r="BW256" s="2" t="s">
        <v>911</v>
      </c>
      <c r="BX256" s="2" t="s">
        <v>1017</v>
      </c>
      <c r="BY256" s="2" t="s">
        <v>111</v>
      </c>
    </row>
    <row r="257">
      <c r="A257" s="2" t="s">
        <v>1018</v>
      </c>
      <c r="B257" s="2" t="s">
        <v>86</v>
      </c>
      <c r="C257" s="2" t="s">
        <v>87</v>
      </c>
      <c r="D257" s="2" t="s">
        <v>88</v>
      </c>
      <c r="E257" s="2" t="s">
        <v>837</v>
      </c>
      <c r="F257" s="2" t="s">
        <v>872</v>
      </c>
      <c r="G257" s="2" t="s">
        <v>873</v>
      </c>
      <c r="H257" s="2" t="s">
        <v>874</v>
      </c>
      <c r="I257" s="2" t="s">
        <v>875</v>
      </c>
      <c r="J257" s="2" t="s">
        <v>896</v>
      </c>
      <c r="K257" s="2" t="s">
        <v>247</v>
      </c>
      <c r="L257" s="3">
        <v>33.5</v>
      </c>
      <c r="M257" s="3">
        <v>35.18</v>
      </c>
      <c r="N257" s="3">
        <v>74.99</v>
      </c>
      <c r="O257" s="2" t="s">
        <v>95</v>
      </c>
      <c r="P257" s="2" t="s">
        <v>215</v>
      </c>
      <c r="Q257" s="2" t="s">
        <v>97</v>
      </c>
      <c r="R257" s="2" t="s">
        <v>98</v>
      </c>
      <c r="S257" s="2" t="s">
        <v>98</v>
      </c>
      <c r="T257" s="2" t="s">
        <v>878</v>
      </c>
      <c r="U257" s="2" t="s">
        <v>100</v>
      </c>
      <c r="V257" s="2" t="s">
        <v>101</v>
      </c>
      <c r="W257" s="2" t="s">
        <v>567</v>
      </c>
      <c r="X257" s="2" t="s">
        <v>98</v>
      </c>
      <c r="Y257" s="2" t="s">
        <v>1013</v>
      </c>
      <c r="Z257" s="4">
        <v>39</v>
      </c>
      <c r="AA257" s="4">
        <f>=ROUNDDOWN(13,0)</f>
      </c>
      <c r="AB257" s="5">
        <v>3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8</v>
      </c>
      <c r="BK257" s="8">
        <v>310.61</v>
      </c>
      <c r="BL257" s="2" t="s">
        <v>1019</v>
      </c>
      <c r="BM257" s="7"/>
      <c r="BN257" s="7"/>
      <c r="BO257" s="4"/>
      <c r="BP257" s="8"/>
      <c r="BQ257" s="4"/>
      <c r="BR257" s="8"/>
      <c r="BS257" s="7"/>
      <c r="BT257" s="7"/>
      <c r="BU257" s="2" t="s">
        <v>211</v>
      </c>
      <c r="BV257" s="2" t="s">
        <v>95</v>
      </c>
      <c r="BW257" s="2" t="s">
        <v>911</v>
      </c>
      <c r="BX257" s="2" t="s">
        <v>1020</v>
      </c>
      <c r="BY257" s="2" t="s">
        <v>111</v>
      </c>
    </row>
    <row r="258">
      <c r="A258" s="2" t="s">
        <v>1021</v>
      </c>
      <c r="B258" s="2" t="s">
        <v>86</v>
      </c>
      <c r="C258" s="2" t="s">
        <v>87</v>
      </c>
      <c r="D258" s="2" t="s">
        <v>88</v>
      </c>
      <c r="E258" s="2" t="s">
        <v>837</v>
      </c>
      <c r="F258" s="2" t="s">
        <v>872</v>
      </c>
      <c r="G258" s="2" t="s">
        <v>873</v>
      </c>
      <c r="H258" s="2" t="s">
        <v>874</v>
      </c>
      <c r="I258" s="2" t="s">
        <v>875</v>
      </c>
      <c r="J258" s="2" t="s">
        <v>858</v>
      </c>
      <c r="K258" s="2" t="s">
        <v>247</v>
      </c>
      <c r="L258" s="3">
        <v>34.5</v>
      </c>
      <c r="M258" s="3">
        <v>36.23</v>
      </c>
      <c r="N258" s="3">
        <v>74.99</v>
      </c>
      <c r="O258" s="2" t="s">
        <v>95</v>
      </c>
      <c r="P258" s="2" t="s">
        <v>215</v>
      </c>
      <c r="Q258" s="2" t="s">
        <v>97</v>
      </c>
      <c r="R258" s="2" t="s">
        <v>98</v>
      </c>
      <c r="S258" s="2" t="s">
        <v>98</v>
      </c>
      <c r="T258" s="2" t="s">
        <v>878</v>
      </c>
      <c r="U258" s="2" t="s">
        <v>100</v>
      </c>
      <c r="V258" s="2" t="s">
        <v>101</v>
      </c>
      <c r="W258" s="2" t="s">
        <v>567</v>
      </c>
      <c r="X258" s="2" t="s">
        <v>98</v>
      </c>
      <c r="Y258" s="2" t="s">
        <v>1013</v>
      </c>
      <c r="Z258" s="4">
        <v>143</v>
      </c>
      <c r="AA258" s="4">
        <f>=ROUNDDOWN(35.75,0)</f>
      </c>
      <c r="AB258" s="5">
        <v>4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19</v>
      </c>
      <c r="BK258" s="8">
        <v>742.26</v>
      </c>
      <c r="BL258" s="2" t="s">
        <v>1014</v>
      </c>
      <c r="BM258" s="7"/>
      <c r="BN258" s="7"/>
      <c r="BO258" s="4"/>
      <c r="BP258" s="8"/>
      <c r="BQ258" s="4"/>
      <c r="BR258" s="8"/>
      <c r="BS258" s="7"/>
      <c r="BT258" s="7"/>
      <c r="BU258" s="2" t="s">
        <v>211</v>
      </c>
      <c r="BV258" s="2" t="s">
        <v>95</v>
      </c>
      <c r="BW258" s="2" t="s">
        <v>911</v>
      </c>
      <c r="BX258" s="2" t="s">
        <v>1022</v>
      </c>
      <c r="BY258" s="2" t="s">
        <v>111</v>
      </c>
    </row>
    <row r="259">
      <c r="A259" s="2" t="s">
        <v>1023</v>
      </c>
      <c r="B259" s="2" t="s">
        <v>86</v>
      </c>
      <c r="C259" s="2" t="s">
        <v>87</v>
      </c>
      <c r="D259" s="2" t="s">
        <v>88</v>
      </c>
      <c r="E259" s="2" t="s">
        <v>837</v>
      </c>
      <c r="F259" s="2" t="s">
        <v>872</v>
      </c>
      <c r="G259" s="2" t="s">
        <v>873</v>
      </c>
      <c r="H259" s="2" t="s">
        <v>874</v>
      </c>
      <c r="I259" s="2" t="s">
        <v>875</v>
      </c>
      <c r="J259" s="2" t="s">
        <v>842</v>
      </c>
      <c r="K259" s="2" t="s">
        <v>323</v>
      </c>
      <c r="L259" s="3">
        <v>27</v>
      </c>
      <c r="M259" s="3">
        <v>28.35</v>
      </c>
      <c r="N259" s="3">
        <v>59.99</v>
      </c>
      <c r="O259" s="2" t="s">
        <v>95</v>
      </c>
      <c r="P259" s="2" t="s">
        <v>215</v>
      </c>
      <c r="Q259" s="2" t="s">
        <v>97</v>
      </c>
      <c r="R259" s="2" t="s">
        <v>98</v>
      </c>
      <c r="S259" s="2" t="s">
        <v>98</v>
      </c>
      <c r="T259" s="2" t="s">
        <v>878</v>
      </c>
      <c r="U259" s="2" t="s">
        <v>100</v>
      </c>
      <c r="V259" s="2" t="s">
        <v>101</v>
      </c>
      <c r="W259" s="2" t="s">
        <v>567</v>
      </c>
      <c r="X259" s="2" t="s">
        <v>98</v>
      </c>
      <c r="Y259" s="2" t="s">
        <v>1013</v>
      </c>
      <c r="Z259" s="4">
        <v>44</v>
      </c>
      <c r="AA259" s="4">
        <f>=ROUNDDOWN(29.3333333333333,0)</f>
      </c>
      <c r="AB259" s="5">
        <v>1.5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 t="s">
        <v>98</v>
      </c>
      <c r="BJ259" s="4">
        <v>9</v>
      </c>
      <c r="BK259" s="8">
        <v>263.63</v>
      </c>
      <c r="BL259" s="2" t="s">
        <v>1014</v>
      </c>
      <c r="BM259" s="7"/>
      <c r="BN259" s="7"/>
      <c r="BO259" s="4"/>
      <c r="BP259" s="8"/>
      <c r="BQ259" s="4"/>
      <c r="BR259" s="8"/>
      <c r="BS259" s="7"/>
      <c r="BT259" s="7"/>
      <c r="BU259" s="2" t="s">
        <v>211</v>
      </c>
      <c r="BV259" s="2" t="s">
        <v>95</v>
      </c>
      <c r="BW259" s="2" t="s">
        <v>911</v>
      </c>
      <c r="BX259" s="2" t="s">
        <v>98</v>
      </c>
      <c r="BY259" s="2" t="s">
        <v>111</v>
      </c>
    </row>
    <row r="260">
      <c r="A260" s="2" t="s">
        <v>1024</v>
      </c>
      <c r="B260" s="2" t="s">
        <v>86</v>
      </c>
      <c r="C260" s="2" t="s">
        <v>87</v>
      </c>
      <c r="D260" s="2" t="s">
        <v>88</v>
      </c>
      <c r="E260" s="2" t="s">
        <v>837</v>
      </c>
      <c r="F260" s="2" t="s">
        <v>872</v>
      </c>
      <c r="G260" s="2" t="s">
        <v>873</v>
      </c>
      <c r="H260" s="2" t="s">
        <v>874</v>
      </c>
      <c r="I260" s="2" t="s">
        <v>875</v>
      </c>
      <c r="J260" s="2" t="s">
        <v>851</v>
      </c>
      <c r="K260" s="2" t="s">
        <v>323</v>
      </c>
      <c r="L260" s="3">
        <v>29.25</v>
      </c>
      <c r="M260" s="3">
        <v>30.71</v>
      </c>
      <c r="N260" s="3">
        <v>64.99</v>
      </c>
      <c r="O260" s="2" t="s">
        <v>95</v>
      </c>
      <c r="P260" s="2" t="s">
        <v>215</v>
      </c>
      <c r="Q260" s="2" t="s">
        <v>97</v>
      </c>
      <c r="R260" s="2" t="s">
        <v>98</v>
      </c>
      <c r="S260" s="2" t="s">
        <v>98</v>
      </c>
      <c r="T260" s="2" t="s">
        <v>878</v>
      </c>
      <c r="U260" s="2" t="s">
        <v>100</v>
      </c>
      <c r="V260" s="2" t="s">
        <v>101</v>
      </c>
      <c r="W260" s="2" t="s">
        <v>567</v>
      </c>
      <c r="X260" s="2" t="s">
        <v>98</v>
      </c>
      <c r="Y260" s="2" t="s">
        <v>1013</v>
      </c>
      <c r="Z260" s="4">
        <v>14</v>
      </c>
      <c r="AA260" s="4">
        <f>=ROUNDDOWN(70,0)</f>
      </c>
      <c r="AB260" s="5">
        <v>0.2</v>
      </c>
      <c r="AC260" s="2" t="s">
        <v>98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4</v>
      </c>
      <c r="BK260" s="8">
        <v>131.73</v>
      </c>
      <c r="BL260" s="2" t="s">
        <v>1025</v>
      </c>
      <c r="BM260" s="7"/>
      <c r="BN260" s="7"/>
      <c r="BO260" s="4"/>
      <c r="BP260" s="8"/>
      <c r="BQ260" s="4"/>
      <c r="BR260" s="8"/>
      <c r="BS260" s="7"/>
      <c r="BT260" s="7"/>
      <c r="BU260" s="2" t="s">
        <v>211</v>
      </c>
      <c r="BV260" s="2" t="s">
        <v>95</v>
      </c>
      <c r="BW260" s="2" t="s">
        <v>911</v>
      </c>
      <c r="BX260" s="2" t="s">
        <v>1022</v>
      </c>
      <c r="BY260" s="2" t="s">
        <v>111</v>
      </c>
    </row>
    <row r="261">
      <c r="A261" s="2" t="s">
        <v>1026</v>
      </c>
      <c r="B261" s="2" t="s">
        <v>86</v>
      </c>
      <c r="C261" s="2" t="s">
        <v>87</v>
      </c>
      <c r="D261" s="2" t="s">
        <v>88</v>
      </c>
      <c r="E261" s="2" t="s">
        <v>837</v>
      </c>
      <c r="F261" s="2" t="s">
        <v>872</v>
      </c>
      <c r="G261" s="2" t="s">
        <v>873</v>
      </c>
      <c r="H261" s="2" t="s">
        <v>874</v>
      </c>
      <c r="I261" s="2" t="s">
        <v>875</v>
      </c>
      <c r="J261" s="2" t="s">
        <v>896</v>
      </c>
      <c r="K261" s="2" t="s">
        <v>323</v>
      </c>
      <c r="L261" s="3">
        <v>33.5</v>
      </c>
      <c r="M261" s="3">
        <v>35.18</v>
      </c>
      <c r="N261" s="3">
        <v>74.99</v>
      </c>
      <c r="O261" s="2" t="s">
        <v>95</v>
      </c>
      <c r="P261" s="2" t="s">
        <v>215</v>
      </c>
      <c r="Q261" s="2" t="s">
        <v>97</v>
      </c>
      <c r="R261" s="2" t="s">
        <v>98</v>
      </c>
      <c r="S261" s="2" t="s">
        <v>98</v>
      </c>
      <c r="T261" s="2" t="s">
        <v>878</v>
      </c>
      <c r="U261" s="2" t="s">
        <v>100</v>
      </c>
      <c r="V261" s="2" t="s">
        <v>101</v>
      </c>
      <c r="W261" s="2" t="s">
        <v>567</v>
      </c>
      <c r="X261" s="2" t="s">
        <v>98</v>
      </c>
      <c r="Y261" s="2" t="s">
        <v>1013</v>
      </c>
      <c r="Z261" s="4">
        <v>6</v>
      </c>
      <c r="AA261" s="4">
        <f>=ROUNDDOWN(3,0)</f>
      </c>
      <c r="AB261" s="5">
        <v>2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18</v>
      </c>
      <c r="BK261" s="8">
        <v>644.64</v>
      </c>
      <c r="BL261" s="2" t="s">
        <v>919</v>
      </c>
      <c r="BM261" s="7"/>
      <c r="BN261" s="7"/>
      <c r="BO261" s="4"/>
      <c r="BP261" s="8"/>
      <c r="BQ261" s="4"/>
      <c r="BR261" s="8"/>
      <c r="BS261" s="7"/>
      <c r="BT261" s="7"/>
      <c r="BU261" s="2" t="s">
        <v>211</v>
      </c>
      <c r="BV261" s="2" t="s">
        <v>95</v>
      </c>
      <c r="BW261" s="2" t="s">
        <v>911</v>
      </c>
      <c r="BX261" s="2" t="s">
        <v>212</v>
      </c>
      <c r="BY261" s="2" t="s">
        <v>111</v>
      </c>
    </row>
    <row r="262">
      <c r="A262" s="2" t="s">
        <v>1027</v>
      </c>
      <c r="B262" s="2" t="s">
        <v>86</v>
      </c>
      <c r="C262" s="2" t="s">
        <v>87</v>
      </c>
      <c r="D262" s="2" t="s">
        <v>88</v>
      </c>
      <c r="E262" s="2" t="s">
        <v>837</v>
      </c>
      <c r="F262" s="2" t="s">
        <v>872</v>
      </c>
      <c r="G262" s="2" t="s">
        <v>873</v>
      </c>
      <c r="H262" s="2" t="s">
        <v>874</v>
      </c>
      <c r="I262" s="2" t="s">
        <v>875</v>
      </c>
      <c r="J262" s="2" t="s">
        <v>858</v>
      </c>
      <c r="K262" s="2" t="s">
        <v>323</v>
      </c>
      <c r="L262" s="3">
        <v>34.5</v>
      </c>
      <c r="M262" s="3">
        <v>36.23</v>
      </c>
      <c r="N262" s="3">
        <v>74.99</v>
      </c>
      <c r="O262" s="2" t="s">
        <v>95</v>
      </c>
      <c r="P262" s="2" t="s">
        <v>215</v>
      </c>
      <c r="Q262" s="2" t="s">
        <v>97</v>
      </c>
      <c r="R262" s="2" t="s">
        <v>98</v>
      </c>
      <c r="S262" s="2" t="s">
        <v>98</v>
      </c>
      <c r="T262" s="2" t="s">
        <v>878</v>
      </c>
      <c r="U262" s="2" t="s">
        <v>100</v>
      </c>
      <c r="V262" s="2" t="s">
        <v>101</v>
      </c>
      <c r="W262" s="2" t="s">
        <v>567</v>
      </c>
      <c r="X262" s="2" t="s">
        <v>98</v>
      </c>
      <c r="Y262" s="2" t="s">
        <v>1013</v>
      </c>
      <c r="Z262" s="4">
        <v>54</v>
      </c>
      <c r="AA262" s="4">
        <f>=ROUNDDOWN(135,0)</f>
      </c>
      <c r="AB262" s="5">
        <v>0.4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 t="s">
        <v>98</v>
      </c>
      <c r="BJ262" s="4">
        <v>5</v>
      </c>
      <c r="BK262" s="8">
        <v>192.64</v>
      </c>
      <c r="BL262" s="2" t="s">
        <v>1028</v>
      </c>
      <c r="BM262" s="7"/>
      <c r="BN262" s="7"/>
      <c r="BO262" s="4"/>
      <c r="BP262" s="8"/>
      <c r="BQ262" s="4"/>
      <c r="BR262" s="8"/>
      <c r="BS262" s="7"/>
      <c r="BT262" s="7"/>
      <c r="BU262" s="2" t="s">
        <v>211</v>
      </c>
      <c r="BV262" s="2" t="s">
        <v>95</v>
      </c>
      <c r="BW262" s="2" t="s">
        <v>911</v>
      </c>
      <c r="BX262" s="2" t="s">
        <v>1029</v>
      </c>
      <c r="BY262" s="2" t="s">
        <v>111</v>
      </c>
    </row>
    <row r="263">
      <c r="A263" s="2" t="s">
        <v>1030</v>
      </c>
      <c r="B263" s="2" t="s">
        <v>86</v>
      </c>
      <c r="C263" s="2" t="s">
        <v>87</v>
      </c>
      <c r="D263" s="2" t="s">
        <v>88</v>
      </c>
      <c r="E263" s="2" t="s">
        <v>837</v>
      </c>
      <c r="F263" s="2" t="s">
        <v>872</v>
      </c>
      <c r="G263" s="2" t="s">
        <v>873</v>
      </c>
      <c r="H263" s="2" t="s">
        <v>874</v>
      </c>
      <c r="I263" s="2" t="s">
        <v>875</v>
      </c>
      <c r="J263" s="2" t="s">
        <v>842</v>
      </c>
      <c r="K263" s="2" t="s">
        <v>1031</v>
      </c>
      <c r="L263" s="3">
        <v>27</v>
      </c>
      <c r="M263" s="3">
        <v>28.35</v>
      </c>
      <c r="N263" s="3">
        <v>59.99</v>
      </c>
      <c r="O263" s="2" t="s">
        <v>95</v>
      </c>
      <c r="P263" s="2" t="s">
        <v>215</v>
      </c>
      <c r="Q263" s="2" t="s">
        <v>97</v>
      </c>
      <c r="R263" s="2" t="s">
        <v>98</v>
      </c>
      <c r="S263" s="2" t="s">
        <v>98</v>
      </c>
      <c r="T263" s="2" t="s">
        <v>878</v>
      </c>
      <c r="U263" s="2" t="s">
        <v>100</v>
      </c>
      <c r="V263" s="2" t="s">
        <v>101</v>
      </c>
      <c r="W263" s="2" t="s">
        <v>567</v>
      </c>
      <c r="X263" s="2" t="s">
        <v>98</v>
      </c>
      <c r="Y263" s="2" t="s">
        <v>1013</v>
      </c>
      <c r="Z263" s="4">
        <v>20</v>
      </c>
      <c r="AA263" s="4">
        <f>=ROUNDDOWN(4.34782608695652,0)</f>
      </c>
      <c r="AB263" s="5">
        <v>4.6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6</v>
      </c>
      <c r="BK263" s="8">
        <v>176.86</v>
      </c>
      <c r="BL263" s="2" t="s">
        <v>1028</v>
      </c>
      <c r="BM263" s="7"/>
      <c r="BN263" s="7"/>
      <c r="BO263" s="4"/>
      <c r="BP263" s="8"/>
      <c r="BQ263" s="4"/>
      <c r="BR263" s="8"/>
      <c r="BS263" s="7"/>
      <c r="BT263" s="7"/>
      <c r="BU263" s="2" t="s">
        <v>211</v>
      </c>
      <c r="BV263" s="2" t="s">
        <v>95</v>
      </c>
      <c r="BW263" s="2" t="s">
        <v>911</v>
      </c>
      <c r="BX263" s="2" t="s">
        <v>98</v>
      </c>
      <c r="BY263" s="2" t="s">
        <v>111</v>
      </c>
    </row>
    <row r="264">
      <c r="A264" s="2" t="s">
        <v>1032</v>
      </c>
      <c r="B264" s="2" t="s">
        <v>86</v>
      </c>
      <c r="C264" s="2" t="s">
        <v>87</v>
      </c>
      <c r="D264" s="2" t="s">
        <v>88</v>
      </c>
      <c r="E264" s="2" t="s">
        <v>837</v>
      </c>
      <c r="F264" s="2" t="s">
        <v>872</v>
      </c>
      <c r="G264" s="2" t="s">
        <v>873</v>
      </c>
      <c r="H264" s="2" t="s">
        <v>874</v>
      </c>
      <c r="I264" s="2" t="s">
        <v>875</v>
      </c>
      <c r="J264" s="2" t="s">
        <v>851</v>
      </c>
      <c r="K264" s="2" t="s">
        <v>1031</v>
      </c>
      <c r="L264" s="3">
        <v>29.25</v>
      </c>
      <c r="M264" s="3">
        <v>30.71</v>
      </c>
      <c r="N264" s="3">
        <v>64.99</v>
      </c>
      <c r="O264" s="2" t="s">
        <v>95</v>
      </c>
      <c r="P264" s="2" t="s">
        <v>215</v>
      </c>
      <c r="Q264" s="2" t="s">
        <v>97</v>
      </c>
      <c r="R264" s="2" t="s">
        <v>98</v>
      </c>
      <c r="S264" s="2" t="s">
        <v>98</v>
      </c>
      <c r="T264" s="2" t="s">
        <v>878</v>
      </c>
      <c r="U264" s="2" t="s">
        <v>100</v>
      </c>
      <c r="V264" s="2" t="s">
        <v>101</v>
      </c>
      <c r="W264" s="2" t="s">
        <v>567</v>
      </c>
      <c r="X264" s="2" t="s">
        <v>98</v>
      </c>
      <c r="Y264" s="2" t="s">
        <v>1013</v>
      </c>
      <c r="Z264" s="4">
        <v>53</v>
      </c>
      <c r="AA264" s="4">
        <f>=ROUNDDOWN(265,0)</f>
      </c>
      <c r="AB264" s="5">
        <v>0.2</v>
      </c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/>
      <c r="BK264" s="8"/>
      <c r="BL264" s="2" t="s">
        <v>98</v>
      </c>
      <c r="BM264" s="7"/>
      <c r="BN264" s="7"/>
      <c r="BO264" s="4"/>
      <c r="BP264" s="8"/>
      <c r="BQ264" s="4"/>
      <c r="BR264" s="8"/>
      <c r="BS264" s="7"/>
      <c r="BT264" s="7"/>
      <c r="BU264" s="2" t="s">
        <v>211</v>
      </c>
      <c r="BV264" s="2" t="s">
        <v>95</v>
      </c>
      <c r="BW264" s="2" t="s">
        <v>911</v>
      </c>
      <c r="BX264" s="2" t="s">
        <v>98</v>
      </c>
      <c r="BY264" s="2" t="s">
        <v>111</v>
      </c>
    </row>
    <row r="265">
      <c r="A265" s="2" t="s">
        <v>1033</v>
      </c>
      <c r="B265" s="2" t="s">
        <v>86</v>
      </c>
      <c r="C265" s="2" t="s">
        <v>87</v>
      </c>
      <c r="D265" s="2" t="s">
        <v>88</v>
      </c>
      <c r="E265" s="2" t="s">
        <v>837</v>
      </c>
      <c r="F265" s="2" t="s">
        <v>872</v>
      </c>
      <c r="G265" s="2" t="s">
        <v>873</v>
      </c>
      <c r="H265" s="2" t="s">
        <v>874</v>
      </c>
      <c r="I265" s="2" t="s">
        <v>875</v>
      </c>
      <c r="J265" s="2" t="s">
        <v>896</v>
      </c>
      <c r="K265" s="2" t="s">
        <v>1031</v>
      </c>
      <c r="L265" s="3">
        <v>33.5</v>
      </c>
      <c r="M265" s="3">
        <v>35.18</v>
      </c>
      <c r="N265" s="3">
        <v>74.99</v>
      </c>
      <c r="O265" s="2" t="s">
        <v>95</v>
      </c>
      <c r="P265" s="2" t="s">
        <v>215</v>
      </c>
      <c r="Q265" s="2" t="s">
        <v>97</v>
      </c>
      <c r="R265" s="2" t="s">
        <v>98</v>
      </c>
      <c r="S265" s="2" t="s">
        <v>98</v>
      </c>
      <c r="T265" s="2" t="s">
        <v>878</v>
      </c>
      <c r="U265" s="2" t="s">
        <v>100</v>
      </c>
      <c r="V265" s="2" t="s">
        <v>101</v>
      </c>
      <c r="W265" s="2" t="s">
        <v>567</v>
      </c>
      <c r="X265" s="2" t="s">
        <v>98</v>
      </c>
      <c r="Y265" s="2" t="s">
        <v>1013</v>
      </c>
      <c r="Z265" s="4">
        <v>51</v>
      </c>
      <c r="AA265" s="4">
        <f>=ROUNDDOWN(102,0)</f>
      </c>
      <c r="AB265" s="5">
        <v>0.5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8</v>
      </c>
      <c r="BK265" s="8">
        <v>310.98</v>
      </c>
      <c r="BL265" s="2" t="s">
        <v>1028</v>
      </c>
      <c r="BM265" s="7"/>
      <c r="BN265" s="7"/>
      <c r="BO265" s="4"/>
      <c r="BP265" s="8"/>
      <c r="BQ265" s="4"/>
      <c r="BR265" s="8"/>
      <c r="BS265" s="7"/>
      <c r="BT265" s="7"/>
      <c r="BU265" s="2" t="s">
        <v>211</v>
      </c>
      <c r="BV265" s="2" t="s">
        <v>95</v>
      </c>
      <c r="BW265" s="2" t="s">
        <v>911</v>
      </c>
      <c r="BX265" s="2" t="s">
        <v>1034</v>
      </c>
      <c r="BY265" s="2" t="s">
        <v>111</v>
      </c>
    </row>
    <row r="266">
      <c r="A266" s="2" t="s">
        <v>1035</v>
      </c>
      <c r="B266" s="2" t="s">
        <v>86</v>
      </c>
      <c r="C266" s="2" t="s">
        <v>87</v>
      </c>
      <c r="D266" s="2" t="s">
        <v>88</v>
      </c>
      <c r="E266" s="2" t="s">
        <v>837</v>
      </c>
      <c r="F266" s="2" t="s">
        <v>1036</v>
      </c>
      <c r="G266" s="2" t="s">
        <v>1037</v>
      </c>
      <c r="H266" s="2" t="s">
        <v>1038</v>
      </c>
      <c r="I266" s="2" t="s">
        <v>841</v>
      </c>
      <c r="J266" s="2" t="s">
        <v>842</v>
      </c>
      <c r="K266" s="2" t="s">
        <v>1039</v>
      </c>
      <c r="L266" s="3">
        <v>23.2</v>
      </c>
      <c r="M266" s="3">
        <v>24.36</v>
      </c>
      <c r="N266" s="3">
        <v>54.99</v>
      </c>
      <c r="O266" s="2" t="s">
        <v>95</v>
      </c>
      <c r="P266" s="2" t="s">
        <v>150</v>
      </c>
      <c r="Q266" s="2" t="s">
        <v>97</v>
      </c>
      <c r="R266" s="2" t="s">
        <v>98</v>
      </c>
      <c r="S266" s="2" t="s">
        <v>1040</v>
      </c>
      <c r="T266" s="2" t="s">
        <v>844</v>
      </c>
      <c r="U266" s="2" t="s">
        <v>100</v>
      </c>
      <c r="V266" s="2" t="s">
        <v>101</v>
      </c>
      <c r="W266" s="2" t="s">
        <v>567</v>
      </c>
      <c r="X266" s="2" t="s">
        <v>98</v>
      </c>
      <c r="Y266" s="2" t="s">
        <v>845</v>
      </c>
      <c r="Z266" s="4">
        <v>338</v>
      </c>
      <c r="AA266" s="4">
        <f>=ROUNDDOWN(48.2857142857143,0)</f>
      </c>
      <c r="AB266" s="5">
        <v>7</v>
      </c>
      <c r="AC266" s="2" t="s">
        <v>98</v>
      </c>
      <c r="AD266" s="4"/>
      <c r="AE266" s="4"/>
      <c r="AF266" s="6">
        <v>75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6</v>
      </c>
      <c r="AQ266" s="8">
        <v>153.48</v>
      </c>
      <c r="AR266" s="4"/>
      <c r="AS266" s="8"/>
      <c r="AT266" s="7"/>
      <c r="AU266" s="7"/>
      <c r="AV266" s="4">
        <v>63</v>
      </c>
      <c r="AW266" s="8">
        <v>1913.95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0.0802</v>
      </c>
      <c r="BC266" s="4">
        <v>204</v>
      </c>
      <c r="BD266" s="8">
        <v>4832.9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0.396</v>
      </c>
      <c r="BJ266" s="4">
        <v>60</v>
      </c>
      <c r="BK266" s="8">
        <v>1562.95</v>
      </c>
      <c r="BL266" s="2" t="s">
        <v>855</v>
      </c>
      <c r="BM266" s="7">
        <v>0.1</v>
      </c>
      <c r="BN266" s="7">
        <v>0.0982</v>
      </c>
      <c r="BO266" s="4">
        <v>6</v>
      </c>
      <c r="BP266" s="8">
        <v>153.48</v>
      </c>
      <c r="BQ266" s="4"/>
      <c r="BR266" s="8"/>
      <c r="BS266" s="7"/>
      <c r="BT266" s="7"/>
      <c r="BU266" s="2" t="s">
        <v>107</v>
      </c>
      <c r="BV266" s="2" t="s">
        <v>108</v>
      </c>
      <c r="BW266" s="2" t="s">
        <v>601</v>
      </c>
      <c r="BX266" s="2" t="s">
        <v>1041</v>
      </c>
      <c r="BY266" s="2" t="s">
        <v>111</v>
      </c>
    </row>
    <row r="267">
      <c r="A267" s="2" t="s">
        <v>1042</v>
      </c>
      <c r="B267" s="2" t="s">
        <v>86</v>
      </c>
      <c r="C267" s="2" t="s">
        <v>87</v>
      </c>
      <c r="D267" s="2" t="s">
        <v>88</v>
      </c>
      <c r="E267" s="2" t="s">
        <v>837</v>
      </c>
      <c r="F267" s="2" t="s">
        <v>1036</v>
      </c>
      <c r="G267" s="2" t="s">
        <v>1037</v>
      </c>
      <c r="H267" s="2" t="s">
        <v>1038</v>
      </c>
      <c r="I267" s="2" t="s">
        <v>841</v>
      </c>
      <c r="J267" s="2" t="s">
        <v>848</v>
      </c>
      <c r="K267" s="2" t="s">
        <v>1039</v>
      </c>
      <c r="L267" s="3">
        <v>25.75</v>
      </c>
      <c r="M267" s="3">
        <v>27.04</v>
      </c>
      <c r="N267" s="3">
        <v>57.99</v>
      </c>
      <c r="O267" s="2" t="s">
        <v>95</v>
      </c>
      <c r="P267" s="2" t="s">
        <v>150</v>
      </c>
      <c r="Q267" s="2" t="s">
        <v>97</v>
      </c>
      <c r="R267" s="2" t="s">
        <v>98</v>
      </c>
      <c r="S267" s="2" t="s">
        <v>1040</v>
      </c>
      <c r="T267" s="2" t="s">
        <v>844</v>
      </c>
      <c r="U267" s="2" t="s">
        <v>100</v>
      </c>
      <c r="V267" s="2" t="s">
        <v>101</v>
      </c>
      <c r="W267" s="2" t="s">
        <v>567</v>
      </c>
      <c r="X267" s="2" t="s">
        <v>98</v>
      </c>
      <c r="Y267" s="2" t="s">
        <v>845</v>
      </c>
      <c r="Z267" s="4">
        <v>217</v>
      </c>
      <c r="AA267" s="4">
        <f>=ROUNDDOWN(36.1666666666667,0)</f>
      </c>
      <c r="AB267" s="5">
        <v>6</v>
      </c>
      <c r="AC267" s="2" t="s">
        <v>1043</v>
      </c>
      <c r="AD267" s="4">
        <v>296</v>
      </c>
      <c r="AE267" s="4">
        <v>296</v>
      </c>
      <c r="AF267" s="6">
        <v>75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5</v>
      </c>
      <c r="AQ267" s="8">
        <v>141.95</v>
      </c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0.0742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88</v>
      </c>
      <c r="BK267" s="8">
        <v>2536.93</v>
      </c>
      <c r="BL267" s="2" t="s">
        <v>846</v>
      </c>
      <c r="BM267" s="7">
        <v>0.0568</v>
      </c>
      <c r="BN267" s="7">
        <v>0.056</v>
      </c>
      <c r="BO267" s="4">
        <v>5</v>
      </c>
      <c r="BP267" s="8">
        <v>141.95</v>
      </c>
      <c r="BQ267" s="4"/>
      <c r="BR267" s="8"/>
      <c r="BS267" s="7"/>
      <c r="BT267" s="7"/>
      <c r="BU267" s="2" t="s">
        <v>107</v>
      </c>
      <c r="BV267" s="2" t="s">
        <v>108</v>
      </c>
      <c r="BW267" s="2" t="s">
        <v>601</v>
      </c>
      <c r="BX267" s="2" t="s">
        <v>1044</v>
      </c>
      <c r="BY267" s="2" t="s">
        <v>111</v>
      </c>
    </row>
    <row r="268">
      <c r="A268" s="2" t="s">
        <v>1045</v>
      </c>
      <c r="B268" s="2" t="s">
        <v>86</v>
      </c>
      <c r="C268" s="2" t="s">
        <v>87</v>
      </c>
      <c r="D268" s="2" t="s">
        <v>88</v>
      </c>
      <c r="E268" s="2" t="s">
        <v>837</v>
      </c>
      <c r="F268" s="2" t="s">
        <v>1036</v>
      </c>
      <c r="G268" s="2" t="s">
        <v>1037</v>
      </c>
      <c r="H268" s="2" t="s">
        <v>1038</v>
      </c>
      <c r="I268" s="2" t="s">
        <v>841</v>
      </c>
      <c r="J268" s="2" t="s">
        <v>851</v>
      </c>
      <c r="K268" s="2" t="s">
        <v>1039</v>
      </c>
      <c r="L268" s="3">
        <v>26.35</v>
      </c>
      <c r="M268" s="3">
        <v>27.67</v>
      </c>
      <c r="N268" s="3">
        <v>59.99</v>
      </c>
      <c r="O268" s="2" t="s">
        <v>95</v>
      </c>
      <c r="P268" s="2" t="s">
        <v>129</v>
      </c>
      <c r="Q268" s="2" t="s">
        <v>97</v>
      </c>
      <c r="R268" s="2" t="s">
        <v>98</v>
      </c>
      <c r="S268" s="2" t="s">
        <v>1040</v>
      </c>
      <c r="T268" s="2" t="s">
        <v>844</v>
      </c>
      <c r="U268" s="2" t="s">
        <v>100</v>
      </c>
      <c r="V268" s="2" t="s">
        <v>101</v>
      </c>
      <c r="W268" s="2" t="s">
        <v>567</v>
      </c>
      <c r="X268" s="2" t="s">
        <v>98</v>
      </c>
      <c r="Y268" s="2" t="s">
        <v>845</v>
      </c>
      <c r="Z268" s="4">
        <v>170</v>
      </c>
      <c r="AA268" s="4">
        <f>=ROUNDDOWN(18.8888888888889,0)</f>
      </c>
      <c r="AB268" s="5">
        <v>9</v>
      </c>
      <c r="AC268" s="2" t="s">
        <v>1043</v>
      </c>
      <c r="AD268" s="4">
        <v>280</v>
      </c>
      <c r="AE268" s="4">
        <v>280</v>
      </c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11</v>
      </c>
      <c r="AQ268" s="8">
        <v>319.55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0.167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71</v>
      </c>
      <c r="BK268" s="8">
        <v>2079.45</v>
      </c>
      <c r="BL268" s="2" t="s">
        <v>855</v>
      </c>
      <c r="BM268" s="7">
        <v>0.1549</v>
      </c>
      <c r="BN268" s="7">
        <v>0.1537</v>
      </c>
      <c r="BO268" s="4">
        <v>11</v>
      </c>
      <c r="BP268" s="8">
        <v>319.55</v>
      </c>
      <c r="BQ268" s="4"/>
      <c r="BR268" s="8"/>
      <c r="BS268" s="7"/>
      <c r="BT268" s="7"/>
      <c r="BU268" s="2" t="s">
        <v>107</v>
      </c>
      <c r="BV268" s="2" t="s">
        <v>108</v>
      </c>
      <c r="BW268" s="2" t="s">
        <v>601</v>
      </c>
      <c r="BX268" s="2" t="s">
        <v>1044</v>
      </c>
      <c r="BY268" s="2" t="s">
        <v>111</v>
      </c>
    </row>
    <row r="269">
      <c r="A269" s="2" t="s">
        <v>1046</v>
      </c>
      <c r="B269" s="2" t="s">
        <v>86</v>
      </c>
      <c r="C269" s="2" t="s">
        <v>87</v>
      </c>
      <c r="D269" s="2" t="s">
        <v>88</v>
      </c>
      <c r="E269" s="2" t="s">
        <v>837</v>
      </c>
      <c r="F269" s="2" t="s">
        <v>1036</v>
      </c>
      <c r="G269" s="2" t="s">
        <v>1037</v>
      </c>
      <c r="H269" s="2" t="s">
        <v>1038</v>
      </c>
      <c r="I269" s="2" t="s">
        <v>841</v>
      </c>
      <c r="J269" s="2" t="s">
        <v>854</v>
      </c>
      <c r="K269" s="2" t="s">
        <v>1039</v>
      </c>
      <c r="L269" s="3">
        <v>27.95</v>
      </c>
      <c r="M269" s="3">
        <v>29.35</v>
      </c>
      <c r="N269" s="3">
        <v>64.99</v>
      </c>
      <c r="O269" s="2" t="s">
        <v>95</v>
      </c>
      <c r="P269" s="2" t="s">
        <v>129</v>
      </c>
      <c r="Q269" s="2" t="s">
        <v>97</v>
      </c>
      <c r="R269" s="2" t="s">
        <v>98</v>
      </c>
      <c r="S269" s="2" t="s">
        <v>1040</v>
      </c>
      <c r="T269" s="2" t="s">
        <v>844</v>
      </c>
      <c r="U269" s="2" t="s">
        <v>100</v>
      </c>
      <c r="V269" s="2" t="s">
        <v>101</v>
      </c>
      <c r="W269" s="2" t="s">
        <v>567</v>
      </c>
      <c r="X269" s="2" t="s">
        <v>98</v>
      </c>
      <c r="Y269" s="2" t="s">
        <v>845</v>
      </c>
      <c r="Z269" s="4">
        <v>155</v>
      </c>
      <c r="AA269" s="4">
        <f>=ROUNDDOWN(10.3333333333333,0)</f>
      </c>
      <c r="AB269" s="5">
        <v>15</v>
      </c>
      <c r="AC269" s="2" t="s">
        <v>1043</v>
      </c>
      <c r="AD269" s="4">
        <v>260</v>
      </c>
      <c r="AE269" s="4">
        <v>560</v>
      </c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17</v>
      </c>
      <c r="AQ269" s="8">
        <v>523.77</v>
      </c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0.2737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94</v>
      </c>
      <c r="BK269" s="8">
        <v>2903.23</v>
      </c>
      <c r="BL269" s="2" t="s">
        <v>1047</v>
      </c>
      <c r="BM269" s="7">
        <v>0.1809</v>
      </c>
      <c r="BN269" s="7">
        <v>0.1804</v>
      </c>
      <c r="BO269" s="4">
        <v>17</v>
      </c>
      <c r="BP269" s="8">
        <v>523.77</v>
      </c>
      <c r="BQ269" s="4"/>
      <c r="BR269" s="8"/>
      <c r="BS269" s="7"/>
      <c r="BT269" s="7"/>
      <c r="BU269" s="2" t="s">
        <v>107</v>
      </c>
      <c r="BV269" s="2" t="s">
        <v>108</v>
      </c>
      <c r="BW269" s="2" t="s">
        <v>601</v>
      </c>
      <c r="BX269" s="2" t="s">
        <v>869</v>
      </c>
      <c r="BY269" s="2" t="s">
        <v>111</v>
      </c>
    </row>
    <row r="270">
      <c r="A270" s="2" t="s">
        <v>1048</v>
      </c>
      <c r="B270" s="2" t="s">
        <v>86</v>
      </c>
      <c r="C270" s="2" t="s">
        <v>87</v>
      </c>
      <c r="D270" s="2" t="s">
        <v>88</v>
      </c>
      <c r="E270" s="2" t="s">
        <v>837</v>
      </c>
      <c r="F270" s="2" t="s">
        <v>1036</v>
      </c>
      <c r="G270" s="2" t="s">
        <v>1037</v>
      </c>
      <c r="H270" s="2" t="s">
        <v>1038</v>
      </c>
      <c r="I270" s="2" t="s">
        <v>841</v>
      </c>
      <c r="J270" s="2" t="s">
        <v>858</v>
      </c>
      <c r="K270" s="2" t="s">
        <v>1039</v>
      </c>
      <c r="L270" s="3">
        <v>29.3</v>
      </c>
      <c r="M270" s="3">
        <v>30.77</v>
      </c>
      <c r="N270" s="3">
        <v>69.99</v>
      </c>
      <c r="O270" s="2" t="s">
        <v>95</v>
      </c>
      <c r="P270" s="2" t="s">
        <v>150</v>
      </c>
      <c r="Q270" s="2" t="s">
        <v>97</v>
      </c>
      <c r="R270" s="2" t="s">
        <v>98</v>
      </c>
      <c r="S270" s="2" t="s">
        <v>1040</v>
      </c>
      <c r="T270" s="2" t="s">
        <v>844</v>
      </c>
      <c r="U270" s="2" t="s">
        <v>100</v>
      </c>
      <c r="V270" s="2" t="s">
        <v>101</v>
      </c>
      <c r="W270" s="2" t="s">
        <v>567</v>
      </c>
      <c r="X270" s="2" t="s">
        <v>98</v>
      </c>
      <c r="Y270" s="2" t="s">
        <v>845</v>
      </c>
      <c r="Z270" s="4">
        <v>363</v>
      </c>
      <c r="AA270" s="4">
        <f>=ROUNDDOWN(21.3529411764706,0)</f>
      </c>
      <c r="AB270" s="5">
        <v>17</v>
      </c>
      <c r="AC270" s="2" t="s">
        <v>1043</v>
      </c>
      <c r="AD270" s="4">
        <v>76</v>
      </c>
      <c r="AE270" s="4">
        <v>232</v>
      </c>
      <c r="AF270" s="6">
        <v>75</v>
      </c>
      <c r="AG270" s="6"/>
      <c r="AH270" s="7">
        <v>0.6333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24</v>
      </c>
      <c r="AQ270" s="8">
        <v>775.2</v>
      </c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0.405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115</v>
      </c>
      <c r="BK270" s="8">
        <v>3820.28</v>
      </c>
      <c r="BL270" s="2" t="s">
        <v>1049</v>
      </c>
      <c r="BM270" s="7">
        <v>0.2087</v>
      </c>
      <c r="BN270" s="7">
        <v>0.2029</v>
      </c>
      <c r="BO270" s="4">
        <v>24</v>
      </c>
      <c r="BP270" s="8">
        <v>775.2</v>
      </c>
      <c r="BQ270" s="4"/>
      <c r="BR270" s="8"/>
      <c r="BS270" s="7"/>
      <c r="BT270" s="7"/>
      <c r="BU270" s="2" t="s">
        <v>107</v>
      </c>
      <c r="BV270" s="2" t="s">
        <v>108</v>
      </c>
      <c r="BW270" s="2" t="s">
        <v>601</v>
      </c>
      <c r="BX270" s="2" t="s">
        <v>175</v>
      </c>
      <c r="BY270" s="2" t="s">
        <v>111</v>
      </c>
    </row>
    <row r="271">
      <c r="A271" s="2" t="s">
        <v>1050</v>
      </c>
      <c r="B271" s="2" t="s">
        <v>86</v>
      </c>
      <c r="C271" s="2" t="s">
        <v>87</v>
      </c>
      <c r="D271" s="2" t="s">
        <v>88</v>
      </c>
      <c r="E271" s="2" t="s">
        <v>837</v>
      </c>
      <c r="F271" s="2" t="s">
        <v>1036</v>
      </c>
      <c r="G271" s="2" t="s">
        <v>1037</v>
      </c>
      <c r="H271" s="2" t="s">
        <v>1038</v>
      </c>
      <c r="I271" s="2" t="s">
        <v>841</v>
      </c>
      <c r="J271" s="2" t="s">
        <v>842</v>
      </c>
      <c r="K271" s="2" t="s">
        <v>1051</v>
      </c>
      <c r="L271" s="3">
        <v>23.2</v>
      </c>
      <c r="M271" s="3">
        <v>24.36</v>
      </c>
      <c r="N271" s="3">
        <v>54.99</v>
      </c>
      <c r="O271" s="2" t="s">
        <v>241</v>
      </c>
      <c r="P271" s="2" t="s">
        <v>215</v>
      </c>
      <c r="Q271" s="2" t="s">
        <v>97</v>
      </c>
      <c r="R271" s="2" t="s">
        <v>98</v>
      </c>
      <c r="S271" s="2" t="s">
        <v>1052</v>
      </c>
      <c r="T271" s="2" t="s">
        <v>844</v>
      </c>
      <c r="U271" s="2" t="s">
        <v>100</v>
      </c>
      <c r="V271" s="2" t="s">
        <v>101</v>
      </c>
      <c r="W271" s="2" t="s">
        <v>567</v>
      </c>
      <c r="X271" s="2" t="s">
        <v>98</v>
      </c>
      <c r="Y271" s="2" t="s">
        <v>845</v>
      </c>
      <c r="Z271" s="4"/>
      <c r="AA271" s="4">
        <f>=ROUNDDOWN({0},0)</f>
      </c>
      <c r="AB271" s="5"/>
      <c r="AC271" s="2" t="s">
        <v>98</v>
      </c>
      <c r="AD271" s="4"/>
      <c r="AE271" s="4"/>
      <c r="AF271" s="6">
        <v>72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9</v>
      </c>
      <c r="AQ271" s="8">
        <v>115.11</v>
      </c>
      <c r="AR271" s="4"/>
      <c r="AS271" s="8"/>
      <c r="AT271" s="7"/>
      <c r="AU271" s="7"/>
      <c r="AV271" s="4">
        <v>97</v>
      </c>
      <c r="AW271" s="8">
        <v>1639.94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0.0702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0.3393</v>
      </c>
      <c r="BJ271" s="4">
        <v>103</v>
      </c>
      <c r="BK271" s="8">
        <v>2071.98</v>
      </c>
      <c r="BL271" s="2" t="s">
        <v>846</v>
      </c>
      <c r="BM271" s="7">
        <v>0.0874</v>
      </c>
      <c r="BN271" s="7">
        <v>0.0556</v>
      </c>
      <c r="BO271" s="4">
        <v>9</v>
      </c>
      <c r="BP271" s="8">
        <v>115.11</v>
      </c>
      <c r="BQ271" s="4"/>
      <c r="BR271" s="8"/>
      <c r="BS271" s="7"/>
      <c r="BT271" s="7"/>
      <c r="BU271" s="2" t="s">
        <v>211</v>
      </c>
      <c r="BV271" s="2" t="s">
        <v>352</v>
      </c>
      <c r="BW271" s="2" t="s">
        <v>601</v>
      </c>
      <c r="BX271" s="2" t="s">
        <v>1044</v>
      </c>
      <c r="BY271" s="2" t="s">
        <v>354</v>
      </c>
    </row>
    <row r="272">
      <c r="A272" s="2" t="s">
        <v>1053</v>
      </c>
      <c r="B272" s="2" t="s">
        <v>86</v>
      </c>
      <c r="C272" s="2" t="s">
        <v>87</v>
      </c>
      <c r="D272" s="2" t="s">
        <v>88</v>
      </c>
      <c r="E272" s="2" t="s">
        <v>837</v>
      </c>
      <c r="F272" s="2" t="s">
        <v>1036</v>
      </c>
      <c r="G272" s="2" t="s">
        <v>1037</v>
      </c>
      <c r="H272" s="2" t="s">
        <v>1038</v>
      </c>
      <c r="I272" s="2" t="s">
        <v>841</v>
      </c>
      <c r="J272" s="2" t="s">
        <v>848</v>
      </c>
      <c r="K272" s="2" t="s">
        <v>1051</v>
      </c>
      <c r="L272" s="3">
        <v>25.75</v>
      </c>
      <c r="M272" s="3">
        <v>27.04</v>
      </c>
      <c r="N272" s="3">
        <v>57.99</v>
      </c>
      <c r="O272" s="2" t="s">
        <v>241</v>
      </c>
      <c r="P272" s="2" t="s">
        <v>215</v>
      </c>
      <c r="Q272" s="2" t="s">
        <v>97</v>
      </c>
      <c r="R272" s="2" t="s">
        <v>98</v>
      </c>
      <c r="S272" s="2" t="s">
        <v>1052</v>
      </c>
      <c r="T272" s="2" t="s">
        <v>844</v>
      </c>
      <c r="U272" s="2" t="s">
        <v>100</v>
      </c>
      <c r="V272" s="2" t="s">
        <v>101</v>
      </c>
      <c r="W272" s="2" t="s">
        <v>567</v>
      </c>
      <c r="X272" s="2" t="s">
        <v>98</v>
      </c>
      <c r="Y272" s="2" t="s">
        <v>845</v>
      </c>
      <c r="Z272" s="4">
        <v>201</v>
      </c>
      <c r="AA272" s="4">
        <f>=ROUNDDOWN(38.6538461538462,0)</f>
      </c>
      <c r="AB272" s="5">
        <v>5.2</v>
      </c>
      <c r="AC272" s="2" t="s">
        <v>98</v>
      </c>
      <c r="AD272" s="4"/>
      <c r="AE272" s="4"/>
      <c r="AF272" s="6">
        <v>72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15</v>
      </c>
      <c r="AQ272" s="8">
        <v>213</v>
      </c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0.1299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55</v>
      </c>
      <c r="BK272" s="8">
        <v>952.39</v>
      </c>
      <c r="BL272" s="2" t="s">
        <v>864</v>
      </c>
      <c r="BM272" s="7">
        <v>0.2727</v>
      </c>
      <c r="BN272" s="7">
        <v>0.2236</v>
      </c>
      <c r="BO272" s="4">
        <v>15</v>
      </c>
      <c r="BP272" s="8">
        <v>213</v>
      </c>
      <c r="BQ272" s="4"/>
      <c r="BR272" s="8"/>
      <c r="BS272" s="7"/>
      <c r="BT272" s="7"/>
      <c r="BU272" s="2" t="s">
        <v>211</v>
      </c>
      <c r="BV272" s="2" t="s">
        <v>95</v>
      </c>
      <c r="BW272" s="2" t="s">
        <v>601</v>
      </c>
      <c r="BX272" s="2" t="s">
        <v>1054</v>
      </c>
      <c r="BY272" s="2" t="s">
        <v>354</v>
      </c>
    </row>
    <row r="273">
      <c r="A273" s="2" t="s">
        <v>1055</v>
      </c>
      <c r="B273" s="2" t="s">
        <v>86</v>
      </c>
      <c r="C273" s="2" t="s">
        <v>87</v>
      </c>
      <c r="D273" s="2" t="s">
        <v>88</v>
      </c>
      <c r="E273" s="2" t="s">
        <v>837</v>
      </c>
      <c r="F273" s="2" t="s">
        <v>1036</v>
      </c>
      <c r="G273" s="2" t="s">
        <v>1037</v>
      </c>
      <c r="H273" s="2" t="s">
        <v>1038</v>
      </c>
      <c r="I273" s="2" t="s">
        <v>841</v>
      </c>
      <c r="J273" s="2" t="s">
        <v>851</v>
      </c>
      <c r="K273" s="2" t="s">
        <v>1051</v>
      </c>
      <c r="L273" s="3">
        <v>26.35</v>
      </c>
      <c r="M273" s="3">
        <v>27.67</v>
      </c>
      <c r="N273" s="3">
        <v>59.99</v>
      </c>
      <c r="O273" s="2" t="s">
        <v>241</v>
      </c>
      <c r="P273" s="2" t="s">
        <v>215</v>
      </c>
      <c r="Q273" s="2" t="s">
        <v>97</v>
      </c>
      <c r="R273" s="2" t="s">
        <v>98</v>
      </c>
      <c r="S273" s="2" t="s">
        <v>1052</v>
      </c>
      <c r="T273" s="2" t="s">
        <v>844</v>
      </c>
      <c r="U273" s="2" t="s">
        <v>100</v>
      </c>
      <c r="V273" s="2" t="s">
        <v>101</v>
      </c>
      <c r="W273" s="2" t="s">
        <v>567</v>
      </c>
      <c r="X273" s="2" t="s">
        <v>98</v>
      </c>
      <c r="Y273" s="2" t="s">
        <v>845</v>
      </c>
      <c r="Z273" s="4">
        <v>3</v>
      </c>
      <c r="AA273" s="4">
        <f>=ROUNDDOWN({0},0)</f>
      </c>
      <c r="AB273" s="5"/>
      <c r="AC273" s="2" t="s">
        <v>98</v>
      </c>
      <c r="AD273" s="4"/>
      <c r="AE273" s="4"/>
      <c r="AF273" s="6">
        <v>72</v>
      </c>
      <c r="AG273" s="6"/>
      <c r="AH273" s="7">
        <v>1</v>
      </c>
      <c r="AI273" s="4">
        <v>1</v>
      </c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29</v>
      </c>
      <c r="AQ273" s="8">
        <v>421.37</v>
      </c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0.2569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104</v>
      </c>
      <c r="BK273" s="8">
        <v>2342.64</v>
      </c>
      <c r="BL273" s="2" t="s">
        <v>1047</v>
      </c>
      <c r="BM273" s="7">
        <v>0.2788</v>
      </c>
      <c r="BN273" s="7">
        <v>0.1799</v>
      </c>
      <c r="BO273" s="4">
        <v>29</v>
      </c>
      <c r="BP273" s="8">
        <v>421.37</v>
      </c>
      <c r="BQ273" s="4"/>
      <c r="BR273" s="8"/>
      <c r="BS273" s="7"/>
      <c r="BT273" s="7"/>
      <c r="BU273" s="2" t="s">
        <v>211</v>
      </c>
      <c r="BV273" s="2" t="s">
        <v>352</v>
      </c>
      <c r="BW273" s="2" t="s">
        <v>601</v>
      </c>
      <c r="BX273" s="2" t="s">
        <v>865</v>
      </c>
      <c r="BY273" s="2" t="s">
        <v>354</v>
      </c>
    </row>
    <row r="274">
      <c r="A274" s="2" t="s">
        <v>1056</v>
      </c>
      <c r="B274" s="2" t="s">
        <v>86</v>
      </c>
      <c r="C274" s="2" t="s">
        <v>87</v>
      </c>
      <c r="D274" s="2" t="s">
        <v>88</v>
      </c>
      <c r="E274" s="2" t="s">
        <v>837</v>
      </c>
      <c r="F274" s="2" t="s">
        <v>1036</v>
      </c>
      <c r="G274" s="2" t="s">
        <v>1037</v>
      </c>
      <c r="H274" s="2" t="s">
        <v>1038</v>
      </c>
      <c r="I274" s="2" t="s">
        <v>841</v>
      </c>
      <c r="J274" s="2" t="s">
        <v>854</v>
      </c>
      <c r="K274" s="2" t="s">
        <v>1051</v>
      </c>
      <c r="L274" s="3">
        <v>27.95</v>
      </c>
      <c r="M274" s="3">
        <v>29.35</v>
      </c>
      <c r="N274" s="3">
        <v>64.99</v>
      </c>
      <c r="O274" s="2" t="s">
        <v>95</v>
      </c>
      <c r="P274" s="2" t="s">
        <v>215</v>
      </c>
      <c r="Q274" s="2" t="s">
        <v>97</v>
      </c>
      <c r="R274" s="2" t="s">
        <v>98</v>
      </c>
      <c r="S274" s="2" t="s">
        <v>1052</v>
      </c>
      <c r="T274" s="2" t="s">
        <v>844</v>
      </c>
      <c r="U274" s="2" t="s">
        <v>100</v>
      </c>
      <c r="V274" s="2" t="s">
        <v>101</v>
      </c>
      <c r="W274" s="2" t="s">
        <v>567</v>
      </c>
      <c r="X274" s="2" t="s">
        <v>98</v>
      </c>
      <c r="Y274" s="2" t="s">
        <v>845</v>
      </c>
      <c r="Z274" s="4">
        <v>175</v>
      </c>
      <c r="AA274" s="4">
        <f>=ROUNDDOWN(14.5833333333333,0)</f>
      </c>
      <c r="AB274" s="5">
        <v>12</v>
      </c>
      <c r="AC274" s="2" t="s">
        <v>98</v>
      </c>
      <c r="AD274" s="4"/>
      <c r="AE274" s="4"/>
      <c r="AF274" s="6">
        <v>72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6</v>
      </c>
      <c r="AQ274" s="8">
        <v>92.46</v>
      </c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0.0564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53</v>
      </c>
      <c r="BK274" s="8">
        <v>1307.58</v>
      </c>
      <c r="BL274" s="2" t="s">
        <v>846</v>
      </c>
      <c r="BM274" s="7">
        <v>0.1132</v>
      </c>
      <c r="BN274" s="7">
        <v>0.0707</v>
      </c>
      <c r="BO274" s="4">
        <v>6</v>
      </c>
      <c r="BP274" s="8">
        <v>92.46</v>
      </c>
      <c r="BQ274" s="4"/>
      <c r="BR274" s="8"/>
      <c r="BS274" s="7"/>
      <c r="BT274" s="7"/>
      <c r="BU274" s="2" t="s">
        <v>211</v>
      </c>
      <c r="BV274" s="2" t="s">
        <v>95</v>
      </c>
      <c r="BW274" s="2" t="s">
        <v>601</v>
      </c>
      <c r="BX274" s="2" t="s">
        <v>1057</v>
      </c>
      <c r="BY274" s="2" t="s">
        <v>354</v>
      </c>
    </row>
    <row r="275">
      <c r="A275" s="2" t="s">
        <v>1058</v>
      </c>
      <c r="B275" s="2" t="s">
        <v>86</v>
      </c>
      <c r="C275" s="2" t="s">
        <v>87</v>
      </c>
      <c r="D275" s="2" t="s">
        <v>88</v>
      </c>
      <c r="E275" s="2" t="s">
        <v>837</v>
      </c>
      <c r="F275" s="2" t="s">
        <v>1036</v>
      </c>
      <c r="G275" s="2" t="s">
        <v>1037</v>
      </c>
      <c r="H275" s="2" t="s">
        <v>1038</v>
      </c>
      <c r="I275" s="2" t="s">
        <v>841</v>
      </c>
      <c r="J275" s="2" t="s">
        <v>858</v>
      </c>
      <c r="K275" s="2" t="s">
        <v>1051</v>
      </c>
      <c r="L275" s="3">
        <v>29.3</v>
      </c>
      <c r="M275" s="3">
        <v>30.77</v>
      </c>
      <c r="N275" s="3">
        <v>69.99</v>
      </c>
      <c r="O275" s="2" t="s">
        <v>368</v>
      </c>
      <c r="P275" s="2" t="s">
        <v>215</v>
      </c>
      <c r="Q275" s="2" t="s">
        <v>97</v>
      </c>
      <c r="R275" s="2" t="s">
        <v>98</v>
      </c>
      <c r="S275" s="2" t="s">
        <v>1052</v>
      </c>
      <c r="T275" s="2" t="s">
        <v>844</v>
      </c>
      <c r="U275" s="2" t="s">
        <v>100</v>
      </c>
      <c r="V275" s="2" t="s">
        <v>101</v>
      </c>
      <c r="W275" s="2" t="s">
        <v>567</v>
      </c>
      <c r="X275" s="2" t="s">
        <v>98</v>
      </c>
      <c r="Y275" s="2" t="s">
        <v>845</v>
      </c>
      <c r="Z275" s="4">
        <v>4</v>
      </c>
      <c r="AA275" s="4">
        <f>=ROUNDDOWN(0.8,0)</f>
      </c>
      <c r="AB275" s="5">
        <v>5</v>
      </c>
      <c r="AC275" s="2" t="s">
        <v>98</v>
      </c>
      <c r="AD275" s="4"/>
      <c r="AE275" s="4"/>
      <c r="AF275" s="6">
        <v>72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38</v>
      </c>
      <c r="AQ275" s="8">
        <v>798</v>
      </c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0.4866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90</v>
      </c>
      <c r="BK275" s="8">
        <v>2172.9</v>
      </c>
      <c r="BL275" s="2" t="s">
        <v>846</v>
      </c>
      <c r="BM275" s="7">
        <v>0.4222</v>
      </c>
      <c r="BN275" s="7">
        <v>0.3673</v>
      </c>
      <c r="BO275" s="4">
        <v>38</v>
      </c>
      <c r="BP275" s="8">
        <v>798</v>
      </c>
      <c r="BQ275" s="4"/>
      <c r="BR275" s="8"/>
      <c r="BS275" s="7"/>
      <c r="BT275" s="7"/>
      <c r="BU275" s="2" t="s">
        <v>211</v>
      </c>
      <c r="BV275" s="2" t="s">
        <v>352</v>
      </c>
      <c r="BW275" s="2" t="s">
        <v>601</v>
      </c>
      <c r="BX275" s="2" t="s">
        <v>1059</v>
      </c>
      <c r="BY275" s="2" t="s">
        <v>354</v>
      </c>
    </row>
    <row r="276">
      <c r="A276" s="2" t="s">
        <v>1060</v>
      </c>
      <c r="B276" s="2" t="s">
        <v>86</v>
      </c>
      <c r="C276" s="2" t="s">
        <v>87</v>
      </c>
      <c r="D276" s="2" t="s">
        <v>88</v>
      </c>
      <c r="E276" s="2" t="s">
        <v>837</v>
      </c>
      <c r="F276" s="2" t="s">
        <v>1036</v>
      </c>
      <c r="G276" s="2" t="s">
        <v>1037</v>
      </c>
      <c r="H276" s="2" t="s">
        <v>1038</v>
      </c>
      <c r="I276" s="2" t="s">
        <v>841</v>
      </c>
      <c r="J276" s="2" t="s">
        <v>842</v>
      </c>
      <c r="K276" s="2" t="s">
        <v>1061</v>
      </c>
      <c r="L276" s="3">
        <v>23.2</v>
      </c>
      <c r="M276" s="3">
        <v>24.36</v>
      </c>
      <c r="N276" s="3">
        <v>54.99</v>
      </c>
      <c r="O276" s="2" t="s">
        <v>95</v>
      </c>
      <c r="P276" s="2" t="s">
        <v>129</v>
      </c>
      <c r="Q276" s="2" t="s">
        <v>97</v>
      </c>
      <c r="R276" s="2" t="s">
        <v>98</v>
      </c>
      <c r="S276" s="2" t="s">
        <v>1062</v>
      </c>
      <c r="T276" s="2" t="s">
        <v>844</v>
      </c>
      <c r="U276" s="2" t="s">
        <v>100</v>
      </c>
      <c r="V276" s="2" t="s">
        <v>101</v>
      </c>
      <c r="W276" s="2" t="s">
        <v>567</v>
      </c>
      <c r="X276" s="2" t="s">
        <v>98</v>
      </c>
      <c r="Y276" s="2" t="s">
        <v>845</v>
      </c>
      <c r="Z276" s="4">
        <v>205</v>
      </c>
      <c r="AA276" s="4">
        <f>=ROUNDDOWN(25.625,0)</f>
      </c>
      <c r="AB276" s="5">
        <v>8</v>
      </c>
      <c r="AC276" s="2" t="s">
        <v>1043</v>
      </c>
      <c r="AD276" s="4">
        <v>132</v>
      </c>
      <c r="AE276" s="4">
        <v>188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11</v>
      </c>
      <c r="AQ276" s="8">
        <v>281.38</v>
      </c>
      <c r="AR276" s="4"/>
      <c r="AS276" s="8"/>
      <c r="AT276" s="7"/>
      <c r="AU276" s="7"/>
      <c r="AV276" s="4">
        <v>44</v>
      </c>
      <c r="AW276" s="8">
        <v>1279.01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0.22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0.2646</v>
      </c>
      <c r="BJ276" s="4">
        <v>79</v>
      </c>
      <c r="BK276" s="8">
        <v>2026.79</v>
      </c>
      <c r="BL276" s="2" t="s">
        <v>846</v>
      </c>
      <c r="BM276" s="7">
        <v>0.1392</v>
      </c>
      <c r="BN276" s="7">
        <v>0.1388</v>
      </c>
      <c r="BO276" s="4">
        <v>11</v>
      </c>
      <c r="BP276" s="8">
        <v>281.38</v>
      </c>
      <c r="BQ276" s="4"/>
      <c r="BR276" s="8"/>
      <c r="BS276" s="7"/>
      <c r="BT276" s="7"/>
      <c r="BU276" s="2" t="s">
        <v>107</v>
      </c>
      <c r="BV276" s="2" t="s">
        <v>108</v>
      </c>
      <c r="BW276" s="2" t="s">
        <v>601</v>
      </c>
      <c r="BX276" s="2" t="s">
        <v>865</v>
      </c>
      <c r="BY276" s="2" t="s">
        <v>111</v>
      </c>
    </row>
    <row r="277">
      <c r="A277" s="2" t="s">
        <v>1063</v>
      </c>
      <c r="B277" s="2" t="s">
        <v>86</v>
      </c>
      <c r="C277" s="2" t="s">
        <v>87</v>
      </c>
      <c r="D277" s="2" t="s">
        <v>88</v>
      </c>
      <c r="E277" s="2" t="s">
        <v>837</v>
      </c>
      <c r="F277" s="2" t="s">
        <v>1036</v>
      </c>
      <c r="G277" s="2" t="s">
        <v>1037</v>
      </c>
      <c r="H277" s="2" t="s">
        <v>1038</v>
      </c>
      <c r="I277" s="2" t="s">
        <v>841</v>
      </c>
      <c r="J277" s="2" t="s">
        <v>848</v>
      </c>
      <c r="K277" s="2" t="s">
        <v>1061</v>
      </c>
      <c r="L277" s="3">
        <v>25.75</v>
      </c>
      <c r="M277" s="3">
        <v>27.04</v>
      </c>
      <c r="N277" s="3">
        <v>57.99</v>
      </c>
      <c r="O277" s="2" t="s">
        <v>95</v>
      </c>
      <c r="P277" s="2" t="s">
        <v>699</v>
      </c>
      <c r="Q277" s="2" t="s">
        <v>97</v>
      </c>
      <c r="R277" s="2" t="s">
        <v>98</v>
      </c>
      <c r="S277" s="2" t="s">
        <v>1062</v>
      </c>
      <c r="T277" s="2" t="s">
        <v>844</v>
      </c>
      <c r="U277" s="2" t="s">
        <v>100</v>
      </c>
      <c r="V277" s="2" t="s">
        <v>101</v>
      </c>
      <c r="W277" s="2" t="s">
        <v>567</v>
      </c>
      <c r="X277" s="2" t="s">
        <v>98</v>
      </c>
      <c r="Y277" s="2" t="s">
        <v>845</v>
      </c>
      <c r="Z277" s="4">
        <v>304</v>
      </c>
      <c r="AA277" s="4">
        <f>=ROUNDDOWN(76,0)</f>
      </c>
      <c r="AB277" s="5">
        <v>4</v>
      </c>
      <c r="AC277" s="2" t="s">
        <v>1043</v>
      </c>
      <c r="AD277" s="4">
        <v>240</v>
      </c>
      <c r="AE277" s="4">
        <v>240</v>
      </c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7</v>
      </c>
      <c r="AQ277" s="8">
        <v>198.73</v>
      </c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0.1554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84</v>
      </c>
      <c r="BK277" s="8">
        <v>2419.1</v>
      </c>
      <c r="BL277" s="2" t="s">
        <v>846</v>
      </c>
      <c r="BM277" s="7">
        <v>0.0833</v>
      </c>
      <c r="BN277" s="7">
        <v>0.0822</v>
      </c>
      <c r="BO277" s="4">
        <v>7</v>
      </c>
      <c r="BP277" s="8">
        <v>198.73</v>
      </c>
      <c r="BQ277" s="4"/>
      <c r="BR277" s="8"/>
      <c r="BS277" s="7"/>
      <c r="BT277" s="7"/>
      <c r="BU277" s="2" t="s">
        <v>107</v>
      </c>
      <c r="BV277" s="2" t="s">
        <v>108</v>
      </c>
      <c r="BW277" s="2" t="s">
        <v>601</v>
      </c>
      <c r="BX277" s="2" t="s">
        <v>1064</v>
      </c>
      <c r="BY277" s="2" t="s">
        <v>111</v>
      </c>
    </row>
    <row r="278">
      <c r="A278" s="2" t="s">
        <v>1065</v>
      </c>
      <c r="B278" s="2" t="s">
        <v>86</v>
      </c>
      <c r="C278" s="2" t="s">
        <v>87</v>
      </c>
      <c r="D278" s="2" t="s">
        <v>88</v>
      </c>
      <c r="E278" s="2" t="s">
        <v>837</v>
      </c>
      <c r="F278" s="2" t="s">
        <v>1036</v>
      </c>
      <c r="G278" s="2" t="s">
        <v>1037</v>
      </c>
      <c r="H278" s="2" t="s">
        <v>1038</v>
      </c>
      <c r="I278" s="2" t="s">
        <v>841</v>
      </c>
      <c r="J278" s="2" t="s">
        <v>851</v>
      </c>
      <c r="K278" s="2" t="s">
        <v>1061</v>
      </c>
      <c r="L278" s="3">
        <v>26.35</v>
      </c>
      <c r="M278" s="3">
        <v>27.67</v>
      </c>
      <c r="N278" s="3">
        <v>59.99</v>
      </c>
      <c r="O278" s="2" t="s">
        <v>95</v>
      </c>
      <c r="P278" s="2" t="s">
        <v>129</v>
      </c>
      <c r="Q278" s="2" t="s">
        <v>97</v>
      </c>
      <c r="R278" s="2" t="s">
        <v>98</v>
      </c>
      <c r="S278" s="2" t="s">
        <v>1062</v>
      </c>
      <c r="T278" s="2" t="s">
        <v>844</v>
      </c>
      <c r="U278" s="2" t="s">
        <v>100</v>
      </c>
      <c r="V278" s="2" t="s">
        <v>101</v>
      </c>
      <c r="W278" s="2" t="s">
        <v>567</v>
      </c>
      <c r="X278" s="2" t="s">
        <v>98</v>
      </c>
      <c r="Y278" s="2" t="s">
        <v>845</v>
      </c>
      <c r="Z278" s="4">
        <v>290</v>
      </c>
      <c r="AA278" s="4">
        <f>=ROUNDDOWN(22.4806201550388,0)</f>
      </c>
      <c r="AB278" s="5">
        <v>12.9</v>
      </c>
      <c r="AC278" s="2" t="s">
        <v>1066</v>
      </c>
      <c r="AD278" s="4">
        <v>408</v>
      </c>
      <c r="AE278" s="4">
        <v>408</v>
      </c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8</v>
      </c>
      <c r="AQ278" s="8">
        <v>232.4</v>
      </c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0.1817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81</v>
      </c>
      <c r="BK278" s="8">
        <v>2468.99</v>
      </c>
      <c r="BL278" s="2" t="s">
        <v>1067</v>
      </c>
      <c r="BM278" s="7">
        <v>0.0988</v>
      </c>
      <c r="BN278" s="7">
        <v>0.0941</v>
      </c>
      <c r="BO278" s="4">
        <v>8</v>
      </c>
      <c r="BP278" s="8">
        <v>232.4</v>
      </c>
      <c r="BQ278" s="4"/>
      <c r="BR278" s="8"/>
      <c r="BS278" s="7"/>
      <c r="BT278" s="7"/>
      <c r="BU278" s="2" t="s">
        <v>107</v>
      </c>
      <c r="BV278" s="2" t="s">
        <v>108</v>
      </c>
      <c r="BW278" s="2" t="s">
        <v>601</v>
      </c>
      <c r="BX278" s="2" t="s">
        <v>1054</v>
      </c>
      <c r="BY278" s="2" t="s">
        <v>111</v>
      </c>
    </row>
    <row r="279">
      <c r="A279" s="2" t="s">
        <v>1068</v>
      </c>
      <c r="B279" s="2" t="s">
        <v>86</v>
      </c>
      <c r="C279" s="2" t="s">
        <v>87</v>
      </c>
      <c r="D279" s="2" t="s">
        <v>88</v>
      </c>
      <c r="E279" s="2" t="s">
        <v>837</v>
      </c>
      <c r="F279" s="2" t="s">
        <v>1036</v>
      </c>
      <c r="G279" s="2" t="s">
        <v>1037</v>
      </c>
      <c r="H279" s="2" t="s">
        <v>1038</v>
      </c>
      <c r="I279" s="2" t="s">
        <v>841</v>
      </c>
      <c r="J279" s="2" t="s">
        <v>854</v>
      </c>
      <c r="K279" s="2" t="s">
        <v>1061</v>
      </c>
      <c r="L279" s="3">
        <v>27.95</v>
      </c>
      <c r="M279" s="3">
        <v>29.35</v>
      </c>
      <c r="N279" s="3">
        <v>64.99</v>
      </c>
      <c r="O279" s="2" t="s">
        <v>95</v>
      </c>
      <c r="P279" s="2" t="s">
        <v>699</v>
      </c>
      <c r="Q279" s="2" t="s">
        <v>97</v>
      </c>
      <c r="R279" s="2" t="s">
        <v>98</v>
      </c>
      <c r="S279" s="2" t="s">
        <v>1062</v>
      </c>
      <c r="T279" s="2" t="s">
        <v>844</v>
      </c>
      <c r="U279" s="2" t="s">
        <v>100</v>
      </c>
      <c r="V279" s="2" t="s">
        <v>101</v>
      </c>
      <c r="W279" s="2" t="s">
        <v>567</v>
      </c>
      <c r="X279" s="2" t="s">
        <v>98</v>
      </c>
      <c r="Y279" s="2" t="s">
        <v>845</v>
      </c>
      <c r="Z279" s="4">
        <v>317</v>
      </c>
      <c r="AA279" s="4">
        <f>=ROUNDDOWN(15.0952380952381,0)</f>
      </c>
      <c r="AB279" s="5">
        <v>21</v>
      </c>
      <c r="AC279" s="2" t="s">
        <v>1043</v>
      </c>
      <c r="AD279" s="4">
        <v>212</v>
      </c>
      <c r="AE279" s="4">
        <v>836</v>
      </c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10</v>
      </c>
      <c r="AQ279" s="8">
        <v>308.1</v>
      </c>
      <c r="AR279" s="4"/>
      <c r="AS279" s="8"/>
      <c r="AT279" s="7"/>
      <c r="AU279" s="7"/>
      <c r="AV279" s="4" t="s">
        <v>98</v>
      </c>
      <c r="AW279" s="8" t="s">
        <v>98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>
        <v>0.2409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 t="s">
        <v>98</v>
      </c>
      <c r="BJ279" s="4">
        <v>131</v>
      </c>
      <c r="BK279" s="8">
        <v>4159.17</v>
      </c>
      <c r="BL279" s="2" t="s">
        <v>855</v>
      </c>
      <c r="BM279" s="7">
        <v>0.0763</v>
      </c>
      <c r="BN279" s="7">
        <v>0.0741</v>
      </c>
      <c r="BO279" s="4">
        <v>10</v>
      </c>
      <c r="BP279" s="8">
        <v>308.1</v>
      </c>
      <c r="BQ279" s="4"/>
      <c r="BR279" s="8"/>
      <c r="BS279" s="7"/>
      <c r="BT279" s="7"/>
      <c r="BU279" s="2" t="s">
        <v>107</v>
      </c>
      <c r="BV279" s="2" t="s">
        <v>108</v>
      </c>
      <c r="BW279" s="2" t="s">
        <v>601</v>
      </c>
      <c r="BX279" s="2" t="s">
        <v>1054</v>
      </c>
      <c r="BY279" s="2" t="s">
        <v>111</v>
      </c>
    </row>
    <row r="280">
      <c r="A280" s="2" t="s">
        <v>1069</v>
      </c>
      <c r="B280" s="2" t="s">
        <v>86</v>
      </c>
      <c r="C280" s="2" t="s">
        <v>87</v>
      </c>
      <c r="D280" s="2" t="s">
        <v>88</v>
      </c>
      <c r="E280" s="2" t="s">
        <v>837</v>
      </c>
      <c r="F280" s="2" t="s">
        <v>1036</v>
      </c>
      <c r="G280" s="2" t="s">
        <v>1037</v>
      </c>
      <c r="H280" s="2" t="s">
        <v>1038</v>
      </c>
      <c r="I280" s="2" t="s">
        <v>841</v>
      </c>
      <c r="J280" s="2" t="s">
        <v>858</v>
      </c>
      <c r="K280" s="2" t="s">
        <v>1061</v>
      </c>
      <c r="L280" s="3">
        <v>29.3</v>
      </c>
      <c r="M280" s="3">
        <v>30.77</v>
      </c>
      <c r="N280" s="3">
        <v>69.99</v>
      </c>
      <c r="O280" s="2" t="s">
        <v>95</v>
      </c>
      <c r="P280" s="2" t="s">
        <v>699</v>
      </c>
      <c r="Q280" s="2" t="s">
        <v>97</v>
      </c>
      <c r="R280" s="2" t="s">
        <v>98</v>
      </c>
      <c r="S280" s="2" t="s">
        <v>1062</v>
      </c>
      <c r="T280" s="2" t="s">
        <v>844</v>
      </c>
      <c r="U280" s="2" t="s">
        <v>100</v>
      </c>
      <c r="V280" s="2" t="s">
        <v>101</v>
      </c>
      <c r="W280" s="2" t="s">
        <v>567</v>
      </c>
      <c r="X280" s="2" t="s">
        <v>98</v>
      </c>
      <c r="Y280" s="2" t="s">
        <v>845</v>
      </c>
      <c r="Z280" s="4">
        <v>287</v>
      </c>
      <c r="AA280" s="4">
        <f>=ROUNDDOWN(17.9375,0)</f>
      </c>
      <c r="AB280" s="5">
        <v>16</v>
      </c>
      <c r="AC280" s="2" t="s">
        <v>1043</v>
      </c>
      <c r="AD280" s="4">
        <v>280</v>
      </c>
      <c r="AE280" s="4">
        <v>580</v>
      </c>
      <c r="AF280" s="6">
        <v>75</v>
      </c>
      <c r="AG280" s="6"/>
      <c r="AH280" s="7">
        <v>0.6444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8</v>
      </c>
      <c r="AQ280" s="8">
        <v>258.4</v>
      </c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0.202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91</v>
      </c>
      <c r="BK280" s="8">
        <v>3062.41</v>
      </c>
      <c r="BL280" s="2" t="s">
        <v>855</v>
      </c>
      <c r="BM280" s="7">
        <v>0.0879</v>
      </c>
      <c r="BN280" s="7">
        <v>0.0844</v>
      </c>
      <c r="BO280" s="4">
        <v>8</v>
      </c>
      <c r="BP280" s="8">
        <v>258.4</v>
      </c>
      <c r="BQ280" s="4"/>
      <c r="BR280" s="8"/>
      <c r="BS280" s="7"/>
      <c r="BT280" s="7"/>
      <c r="BU280" s="2" t="s">
        <v>107</v>
      </c>
      <c r="BV280" s="2" t="s">
        <v>108</v>
      </c>
      <c r="BW280" s="2" t="s">
        <v>601</v>
      </c>
      <c r="BX280" s="2" t="s">
        <v>259</v>
      </c>
      <c r="BY280" s="2" t="s">
        <v>111</v>
      </c>
    </row>
    <row r="281">
      <c r="A281" s="2" t="s">
        <v>1070</v>
      </c>
      <c r="B281" s="2" t="s">
        <v>86</v>
      </c>
      <c r="C281" s="2" t="s">
        <v>87</v>
      </c>
      <c r="D281" s="2" t="s">
        <v>88</v>
      </c>
      <c r="E281" s="2" t="s">
        <v>837</v>
      </c>
      <c r="F281" s="2" t="s">
        <v>1071</v>
      </c>
      <c r="G281" s="2" t="s">
        <v>1072</v>
      </c>
      <c r="H281" s="2" t="s">
        <v>1073</v>
      </c>
      <c r="I281" s="2" t="s">
        <v>1074</v>
      </c>
      <c r="J281" s="2" t="s">
        <v>842</v>
      </c>
      <c r="K281" s="2" t="s">
        <v>458</v>
      </c>
      <c r="L281" s="3">
        <v>27</v>
      </c>
      <c r="M281" s="3">
        <v>28.35</v>
      </c>
      <c r="N281" s="3">
        <v>59.99</v>
      </c>
      <c r="O281" s="2" t="s">
        <v>368</v>
      </c>
      <c r="P281" s="2" t="s">
        <v>215</v>
      </c>
      <c r="Q281" s="2" t="s">
        <v>97</v>
      </c>
      <c r="R281" s="2" t="s">
        <v>98</v>
      </c>
      <c r="S281" s="2" t="s">
        <v>1075</v>
      </c>
      <c r="T281" s="2" t="s">
        <v>878</v>
      </c>
      <c r="U281" s="2" t="s">
        <v>100</v>
      </c>
      <c r="V281" s="2" t="s">
        <v>334</v>
      </c>
      <c r="W281" s="2" t="s">
        <v>102</v>
      </c>
      <c r="X281" s="2" t="s">
        <v>335</v>
      </c>
      <c r="Y281" s="2" t="s">
        <v>1076</v>
      </c>
      <c r="Z281" s="4"/>
      <c r="AA281" s="4">
        <f>=ROUNDDOWN({0},0)</f>
      </c>
      <c r="AB281" s="5">
        <v>2</v>
      </c>
      <c r="AC281" s="2" t="s">
        <v>98</v>
      </c>
      <c r="AD281" s="4"/>
      <c r="AE281" s="4"/>
      <c r="AF281" s="6">
        <v>65</v>
      </c>
      <c r="AG281" s="6"/>
      <c r="AH281" s="7">
        <v>0.5778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12</v>
      </c>
      <c r="AQ281" s="8">
        <v>232.2</v>
      </c>
      <c r="AR281" s="4"/>
      <c r="AS281" s="8"/>
      <c r="AT281" s="7"/>
      <c r="AU281" s="7"/>
      <c r="AV281" s="4">
        <v>33</v>
      </c>
      <c r="AW281" s="8">
        <v>591.51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>
        <v>0.3926</v>
      </c>
      <c r="BC281" s="4">
        <v>37</v>
      </c>
      <c r="BD281" s="8">
        <v>701.2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0.8436</v>
      </c>
      <c r="BJ281" s="4">
        <v>37</v>
      </c>
      <c r="BK281" s="8">
        <v>889.67</v>
      </c>
      <c r="BL281" s="2" t="s">
        <v>1077</v>
      </c>
      <c r="BM281" s="7">
        <v>0.3243</v>
      </c>
      <c r="BN281" s="7">
        <v>0.261</v>
      </c>
      <c r="BO281" s="4">
        <v>12</v>
      </c>
      <c r="BP281" s="8">
        <v>232.2</v>
      </c>
      <c r="BQ281" s="4"/>
      <c r="BR281" s="8"/>
      <c r="BS281" s="7"/>
      <c r="BT281" s="7"/>
      <c r="BU281" s="2" t="s">
        <v>211</v>
      </c>
      <c r="BV281" s="2" t="s">
        <v>352</v>
      </c>
      <c r="BW281" s="2" t="s">
        <v>606</v>
      </c>
      <c r="BX281" s="2" t="s">
        <v>1078</v>
      </c>
      <c r="BY281" s="2" t="s">
        <v>354</v>
      </c>
    </row>
    <row r="282">
      <c r="A282" s="2" t="s">
        <v>1079</v>
      </c>
      <c r="B282" s="2" t="s">
        <v>86</v>
      </c>
      <c r="C282" s="2" t="s">
        <v>87</v>
      </c>
      <c r="D282" s="2" t="s">
        <v>88</v>
      </c>
      <c r="E282" s="2" t="s">
        <v>837</v>
      </c>
      <c r="F282" s="2" t="s">
        <v>1071</v>
      </c>
      <c r="G282" s="2" t="s">
        <v>1072</v>
      </c>
      <c r="H282" s="2" t="s">
        <v>1073</v>
      </c>
      <c r="I282" s="2" t="s">
        <v>1074</v>
      </c>
      <c r="J282" s="2" t="s">
        <v>851</v>
      </c>
      <c r="K282" s="2" t="s">
        <v>458</v>
      </c>
      <c r="L282" s="3">
        <v>29.25</v>
      </c>
      <c r="M282" s="3">
        <v>30.71</v>
      </c>
      <c r="N282" s="3">
        <v>64.99</v>
      </c>
      <c r="O282" s="2" t="s">
        <v>241</v>
      </c>
      <c r="P282" s="2" t="s">
        <v>215</v>
      </c>
      <c r="Q282" s="2" t="s">
        <v>97</v>
      </c>
      <c r="R282" s="2" t="s">
        <v>98</v>
      </c>
      <c r="S282" s="2" t="s">
        <v>1075</v>
      </c>
      <c r="T282" s="2" t="s">
        <v>878</v>
      </c>
      <c r="U282" s="2" t="s">
        <v>100</v>
      </c>
      <c r="V282" s="2" t="s">
        <v>334</v>
      </c>
      <c r="W282" s="2" t="s">
        <v>102</v>
      </c>
      <c r="X282" s="2" t="s">
        <v>335</v>
      </c>
      <c r="Y282" s="2" t="s">
        <v>1076</v>
      </c>
      <c r="Z282" s="4"/>
      <c r="AA282" s="4">
        <f>=ROUNDDOWN({0},0)</f>
      </c>
      <c r="AB282" s="5">
        <v>2.5</v>
      </c>
      <c r="AC282" s="2" t="s">
        <v>98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13</v>
      </c>
      <c r="AQ282" s="8">
        <v>209.69</v>
      </c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>
        <v>0.3545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 t="s">
        <v>98</v>
      </c>
      <c r="BJ282" s="4">
        <v>40</v>
      </c>
      <c r="BK282" s="8">
        <v>937.8</v>
      </c>
      <c r="BL282" s="2" t="s">
        <v>1080</v>
      </c>
      <c r="BM282" s="7">
        <v>0.325</v>
      </c>
      <c r="BN282" s="7">
        <v>0.2236</v>
      </c>
      <c r="BO282" s="4">
        <v>13</v>
      </c>
      <c r="BP282" s="8">
        <v>209.69</v>
      </c>
      <c r="BQ282" s="4"/>
      <c r="BR282" s="8"/>
      <c r="BS282" s="7"/>
      <c r="BT282" s="7"/>
      <c r="BU282" s="2" t="s">
        <v>211</v>
      </c>
      <c r="BV282" s="2" t="s">
        <v>352</v>
      </c>
      <c r="BW282" s="2" t="s">
        <v>606</v>
      </c>
      <c r="BX282" s="2" t="s">
        <v>852</v>
      </c>
      <c r="BY282" s="2" t="s">
        <v>354</v>
      </c>
    </row>
    <row r="283">
      <c r="A283" s="2" t="s">
        <v>1081</v>
      </c>
      <c r="B283" s="2" t="s">
        <v>86</v>
      </c>
      <c r="C283" s="2" t="s">
        <v>87</v>
      </c>
      <c r="D283" s="2" t="s">
        <v>88</v>
      </c>
      <c r="E283" s="2" t="s">
        <v>837</v>
      </c>
      <c r="F283" s="2" t="s">
        <v>1071</v>
      </c>
      <c r="G283" s="2" t="s">
        <v>1072</v>
      </c>
      <c r="H283" s="2" t="s">
        <v>1073</v>
      </c>
      <c r="I283" s="2" t="s">
        <v>1074</v>
      </c>
      <c r="J283" s="2" t="s">
        <v>854</v>
      </c>
      <c r="K283" s="2" t="s">
        <v>458</v>
      </c>
      <c r="L283" s="3">
        <v>32.2</v>
      </c>
      <c r="M283" s="3">
        <v>33.81</v>
      </c>
      <c r="N283" s="3">
        <v>69.99</v>
      </c>
      <c r="O283" s="2" t="s">
        <v>368</v>
      </c>
      <c r="P283" s="2" t="s">
        <v>215</v>
      </c>
      <c r="Q283" s="2" t="s">
        <v>97</v>
      </c>
      <c r="R283" s="2" t="s">
        <v>98</v>
      </c>
      <c r="S283" s="2" t="s">
        <v>1075</v>
      </c>
      <c r="T283" s="2" t="s">
        <v>878</v>
      </c>
      <c r="U283" s="2" t="s">
        <v>100</v>
      </c>
      <c r="V283" s="2" t="s">
        <v>334</v>
      </c>
      <c r="W283" s="2" t="s">
        <v>102</v>
      </c>
      <c r="X283" s="2" t="s">
        <v>335</v>
      </c>
      <c r="Y283" s="2" t="s">
        <v>1076</v>
      </c>
      <c r="Z283" s="4"/>
      <c r="AA283" s="4">
        <f>=ROUNDDOWN({0},0)</f>
      </c>
      <c r="AB283" s="5"/>
      <c r="AC283" s="2" t="s">
        <v>98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35.5</v>
      </c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0.06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31</v>
      </c>
      <c r="BK283" s="8">
        <v>888.01</v>
      </c>
      <c r="BL283" s="2" t="s">
        <v>1082</v>
      </c>
      <c r="BM283" s="7">
        <v>0.0645</v>
      </c>
      <c r="BN283" s="7">
        <v>0.04</v>
      </c>
      <c r="BO283" s="4">
        <v>2</v>
      </c>
      <c r="BP283" s="8">
        <v>35.5</v>
      </c>
      <c r="BQ283" s="4"/>
      <c r="BR283" s="8"/>
      <c r="BS283" s="7"/>
      <c r="BT283" s="7"/>
      <c r="BU283" s="2" t="s">
        <v>211</v>
      </c>
      <c r="BV283" s="2" t="s">
        <v>352</v>
      </c>
      <c r="BW283" s="2" t="s">
        <v>606</v>
      </c>
      <c r="BX283" s="2" t="s">
        <v>1083</v>
      </c>
      <c r="BY283" s="2" t="s">
        <v>354</v>
      </c>
    </row>
    <row r="284">
      <c r="A284" s="2" t="s">
        <v>1084</v>
      </c>
      <c r="B284" s="2" t="s">
        <v>86</v>
      </c>
      <c r="C284" s="2" t="s">
        <v>87</v>
      </c>
      <c r="D284" s="2" t="s">
        <v>88</v>
      </c>
      <c r="E284" s="2" t="s">
        <v>837</v>
      </c>
      <c r="F284" s="2" t="s">
        <v>1071</v>
      </c>
      <c r="G284" s="2" t="s">
        <v>1072</v>
      </c>
      <c r="H284" s="2" t="s">
        <v>1073</v>
      </c>
      <c r="I284" s="2" t="s">
        <v>1074</v>
      </c>
      <c r="J284" s="2" t="s">
        <v>858</v>
      </c>
      <c r="K284" s="2" t="s">
        <v>458</v>
      </c>
      <c r="L284" s="3">
        <v>34.5</v>
      </c>
      <c r="M284" s="3">
        <v>36.23</v>
      </c>
      <c r="N284" s="3">
        <v>74.99</v>
      </c>
      <c r="O284" s="2" t="s">
        <v>241</v>
      </c>
      <c r="P284" s="2" t="s">
        <v>215</v>
      </c>
      <c r="Q284" s="2" t="s">
        <v>97</v>
      </c>
      <c r="R284" s="2" t="s">
        <v>98</v>
      </c>
      <c r="S284" s="2" t="s">
        <v>1075</v>
      </c>
      <c r="T284" s="2" t="s">
        <v>878</v>
      </c>
      <c r="U284" s="2" t="s">
        <v>100</v>
      </c>
      <c r="V284" s="2" t="s">
        <v>334</v>
      </c>
      <c r="W284" s="2" t="s">
        <v>102</v>
      </c>
      <c r="X284" s="2" t="s">
        <v>335</v>
      </c>
      <c r="Y284" s="2" t="s">
        <v>1076</v>
      </c>
      <c r="Z284" s="4"/>
      <c r="AA284" s="4">
        <f>=ROUNDDOWN({0},0)</f>
      </c>
      <c r="AB284" s="5">
        <v>1.2</v>
      </c>
      <c r="AC284" s="2" t="s">
        <v>98</v>
      </c>
      <c r="AD284" s="4"/>
      <c r="AE284" s="4"/>
      <c r="AF284" s="6">
        <v>65</v>
      </c>
      <c r="AG284" s="6"/>
      <c r="AH284" s="7">
        <v>0.5556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6</v>
      </c>
      <c r="AQ284" s="8">
        <v>114.12</v>
      </c>
      <c r="AR284" s="4"/>
      <c r="AS284" s="8"/>
      <c r="AT284" s="7"/>
      <c r="AU284" s="7"/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0.1929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 t="s">
        <v>98</v>
      </c>
      <c r="BJ284" s="4">
        <v>39</v>
      </c>
      <c r="BK284" s="8">
        <v>1123.32</v>
      </c>
      <c r="BL284" s="2" t="s">
        <v>1085</v>
      </c>
      <c r="BM284" s="7">
        <v>0.1538</v>
      </c>
      <c r="BN284" s="7">
        <v>0.1016</v>
      </c>
      <c r="BO284" s="4">
        <v>6</v>
      </c>
      <c r="BP284" s="8">
        <v>114.12</v>
      </c>
      <c r="BQ284" s="4"/>
      <c r="BR284" s="8"/>
      <c r="BS284" s="7"/>
      <c r="BT284" s="7"/>
      <c r="BU284" s="2" t="s">
        <v>211</v>
      </c>
      <c r="BV284" s="2" t="s">
        <v>352</v>
      </c>
      <c r="BW284" s="2" t="s">
        <v>606</v>
      </c>
      <c r="BX284" s="2" t="s">
        <v>852</v>
      </c>
      <c r="BY284" s="2" t="s">
        <v>354</v>
      </c>
    </row>
    <row r="285">
      <c r="A285" s="2" t="s">
        <v>1086</v>
      </c>
      <c r="B285" s="2" t="s">
        <v>86</v>
      </c>
      <c r="C285" s="2" t="s">
        <v>87</v>
      </c>
      <c r="D285" s="2" t="s">
        <v>88</v>
      </c>
      <c r="E285" s="2" t="s">
        <v>837</v>
      </c>
      <c r="F285" s="2" t="s">
        <v>1071</v>
      </c>
      <c r="G285" s="2" t="s">
        <v>1072</v>
      </c>
      <c r="H285" s="2" t="s">
        <v>1073</v>
      </c>
      <c r="I285" s="2" t="s">
        <v>1074</v>
      </c>
      <c r="J285" s="2" t="s">
        <v>854</v>
      </c>
      <c r="K285" s="2" t="s">
        <v>997</v>
      </c>
      <c r="L285" s="3">
        <v>32.2</v>
      </c>
      <c r="M285" s="3">
        <v>33.81</v>
      </c>
      <c r="N285" s="3">
        <v>69.99</v>
      </c>
      <c r="O285" s="2" t="s">
        <v>368</v>
      </c>
      <c r="P285" s="2" t="s">
        <v>215</v>
      </c>
      <c r="Q285" s="2" t="s">
        <v>97</v>
      </c>
      <c r="R285" s="2" t="s">
        <v>98</v>
      </c>
      <c r="S285" s="2" t="s">
        <v>1087</v>
      </c>
      <c r="T285" s="2" t="s">
        <v>878</v>
      </c>
      <c r="U285" s="2" t="s">
        <v>100</v>
      </c>
      <c r="V285" s="2" t="s">
        <v>334</v>
      </c>
      <c r="W285" s="2" t="s">
        <v>102</v>
      </c>
      <c r="X285" s="2" t="s">
        <v>335</v>
      </c>
      <c r="Y285" s="2" t="s">
        <v>1076</v>
      </c>
      <c r="Z285" s="4"/>
      <c r="AA285" s="4">
        <f>=ROUNDDOWN({0},0)</f>
      </c>
      <c r="AB285" s="5">
        <v>1.5</v>
      </c>
      <c r="AC285" s="2" t="s">
        <v>98</v>
      </c>
      <c r="AD285" s="4"/>
      <c r="AE285" s="4"/>
      <c r="AF285" s="6">
        <v>65</v>
      </c>
      <c r="AG285" s="6"/>
      <c r="AH285" s="7">
        <v>0.8667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35.5</v>
      </c>
      <c r="AR285" s="4"/>
      <c r="AS285" s="8"/>
      <c r="AT285" s="7"/>
      <c r="AU285" s="7"/>
      <c r="AV285" s="4">
        <v>4</v>
      </c>
      <c r="AW285" s="8">
        <v>109.69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>
        <v>0.3236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>
        <v>0.1564</v>
      </c>
      <c r="BJ285" s="4">
        <v>15</v>
      </c>
      <c r="BK285" s="8">
        <v>545.61</v>
      </c>
      <c r="BL285" s="2" t="s">
        <v>1088</v>
      </c>
      <c r="BM285" s="7">
        <v>0.0667</v>
      </c>
      <c r="BN285" s="7">
        <v>0.0651</v>
      </c>
      <c r="BO285" s="4">
        <v>1</v>
      </c>
      <c r="BP285" s="8">
        <v>35.5</v>
      </c>
      <c r="BQ285" s="4"/>
      <c r="BR285" s="8"/>
      <c r="BS285" s="7"/>
      <c r="BT285" s="7"/>
      <c r="BU285" s="2" t="s">
        <v>211</v>
      </c>
      <c r="BV285" s="2" t="s">
        <v>352</v>
      </c>
      <c r="BW285" s="2" t="s">
        <v>606</v>
      </c>
      <c r="BX285" s="2" t="s">
        <v>1089</v>
      </c>
      <c r="BY285" s="2" t="s">
        <v>111</v>
      </c>
    </row>
    <row r="286">
      <c r="A286" s="2" t="s">
        <v>1090</v>
      </c>
      <c r="B286" s="2" t="s">
        <v>86</v>
      </c>
      <c r="C286" s="2" t="s">
        <v>87</v>
      </c>
      <c r="D286" s="2" t="s">
        <v>88</v>
      </c>
      <c r="E286" s="2" t="s">
        <v>837</v>
      </c>
      <c r="F286" s="2" t="s">
        <v>1071</v>
      </c>
      <c r="G286" s="2" t="s">
        <v>1072</v>
      </c>
      <c r="H286" s="2" t="s">
        <v>1073</v>
      </c>
      <c r="I286" s="2" t="s">
        <v>1074</v>
      </c>
      <c r="J286" s="2" t="s">
        <v>858</v>
      </c>
      <c r="K286" s="2" t="s">
        <v>997</v>
      </c>
      <c r="L286" s="3">
        <v>34.5</v>
      </c>
      <c r="M286" s="3">
        <v>36.23</v>
      </c>
      <c r="N286" s="3">
        <v>74.99</v>
      </c>
      <c r="O286" s="2" t="s">
        <v>368</v>
      </c>
      <c r="P286" s="2" t="s">
        <v>215</v>
      </c>
      <c r="Q286" s="2" t="s">
        <v>97</v>
      </c>
      <c r="R286" s="2" t="s">
        <v>98</v>
      </c>
      <c r="S286" s="2" t="s">
        <v>1087</v>
      </c>
      <c r="T286" s="2" t="s">
        <v>878</v>
      </c>
      <c r="U286" s="2" t="s">
        <v>100</v>
      </c>
      <c r="V286" s="2" t="s">
        <v>334</v>
      </c>
      <c r="W286" s="2" t="s">
        <v>102</v>
      </c>
      <c r="X286" s="2" t="s">
        <v>335</v>
      </c>
      <c r="Y286" s="2" t="s">
        <v>1076</v>
      </c>
      <c r="Z286" s="4">
        <v>2</v>
      </c>
      <c r="AA286" s="4">
        <f>=ROUNDDOWN(2.85714285714286,0)</f>
      </c>
      <c r="AB286" s="5">
        <v>0.7</v>
      </c>
      <c r="AC286" s="2" t="s">
        <v>98</v>
      </c>
      <c r="AD286" s="4"/>
      <c r="AE286" s="4"/>
      <c r="AF286" s="6">
        <v>65</v>
      </c>
      <c r="AG286" s="6"/>
      <c r="AH286" s="7">
        <v>0.9111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3</v>
      </c>
      <c r="AQ286" s="8">
        <v>74.19</v>
      </c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>
        <v>0.6764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29</v>
      </c>
      <c r="BK286" s="8">
        <v>938.63</v>
      </c>
      <c r="BL286" s="2" t="s">
        <v>1091</v>
      </c>
      <c r="BM286" s="7">
        <v>0.1034</v>
      </c>
      <c r="BN286" s="7">
        <v>0.079</v>
      </c>
      <c r="BO286" s="4">
        <v>3</v>
      </c>
      <c r="BP286" s="8">
        <v>74.19</v>
      </c>
      <c r="BQ286" s="4"/>
      <c r="BR286" s="8"/>
      <c r="BS286" s="7"/>
      <c r="BT286" s="7"/>
      <c r="BU286" s="2" t="s">
        <v>211</v>
      </c>
      <c r="BV286" s="2" t="s">
        <v>352</v>
      </c>
      <c r="BW286" s="2" t="s">
        <v>606</v>
      </c>
      <c r="BX286" s="2" t="s">
        <v>1092</v>
      </c>
      <c r="BY286" s="2" t="s">
        <v>354</v>
      </c>
    </row>
    <row r="287">
      <c r="A287" s="2" t="s">
        <v>1093</v>
      </c>
      <c r="B287" s="2" t="s">
        <v>86</v>
      </c>
      <c r="C287" s="2" t="s">
        <v>87</v>
      </c>
      <c r="D287" s="2" t="s">
        <v>88</v>
      </c>
      <c r="E287" s="2" t="s">
        <v>837</v>
      </c>
      <c r="F287" s="2" t="s">
        <v>1094</v>
      </c>
      <c r="G287" s="2" t="s">
        <v>1095</v>
      </c>
      <c r="H287" s="2" t="s">
        <v>1096</v>
      </c>
      <c r="I287" s="2" t="s">
        <v>1097</v>
      </c>
      <c r="J287" s="2" t="s">
        <v>842</v>
      </c>
      <c r="K287" s="2" t="s">
        <v>400</v>
      </c>
      <c r="L287" s="3">
        <v>27</v>
      </c>
      <c r="M287" s="3">
        <v>28.35</v>
      </c>
      <c r="N287" s="3">
        <v>59.99</v>
      </c>
      <c r="O287" s="2" t="s">
        <v>95</v>
      </c>
      <c r="P287" s="2" t="s">
        <v>150</v>
      </c>
      <c r="Q287" s="2" t="s">
        <v>97</v>
      </c>
      <c r="R287" s="2" t="s">
        <v>98</v>
      </c>
      <c r="S287" s="2" t="s">
        <v>1098</v>
      </c>
      <c r="T287" s="2" t="s">
        <v>878</v>
      </c>
      <c r="U287" s="2" t="s">
        <v>100</v>
      </c>
      <c r="V287" s="2" t="s">
        <v>101</v>
      </c>
      <c r="W287" s="2" t="s">
        <v>335</v>
      </c>
      <c r="X287" s="2" t="s">
        <v>98</v>
      </c>
      <c r="Y287" s="2" t="s">
        <v>1099</v>
      </c>
      <c r="Z287" s="4">
        <v>149</v>
      </c>
      <c r="AA287" s="4">
        <f>=ROUNDDOWN(24.8333333333333,0)</f>
      </c>
      <c r="AB287" s="5">
        <v>6</v>
      </c>
      <c r="AC287" s="2" t="s">
        <v>250</v>
      </c>
      <c r="AD287" s="4">
        <v>84</v>
      </c>
      <c r="AE287" s="4">
        <v>138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4</v>
      </c>
      <c r="AQ287" s="8">
        <v>122.48</v>
      </c>
      <c r="AR287" s="4"/>
      <c r="AS287" s="8"/>
      <c r="AT287" s="7"/>
      <c r="AU287" s="7"/>
      <c r="AV287" s="4">
        <v>5</v>
      </c>
      <c r="AW287" s="8">
        <v>166.03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0.7377</v>
      </c>
      <c r="BC287" s="4">
        <v>6</v>
      </c>
      <c r="BD287" s="8">
        <v>196.65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0.8443</v>
      </c>
      <c r="BJ287" s="4">
        <v>129</v>
      </c>
      <c r="BK287" s="8">
        <v>3978.22</v>
      </c>
      <c r="BL287" s="2" t="s">
        <v>1100</v>
      </c>
      <c r="BM287" s="7">
        <v>0.031</v>
      </c>
      <c r="BN287" s="7">
        <v>0.0308</v>
      </c>
      <c r="BO287" s="4">
        <v>4</v>
      </c>
      <c r="BP287" s="8">
        <v>122.48</v>
      </c>
      <c r="BQ287" s="4"/>
      <c r="BR287" s="8"/>
      <c r="BS287" s="7"/>
      <c r="BT287" s="7"/>
      <c r="BU287" s="2" t="s">
        <v>107</v>
      </c>
      <c r="BV287" s="2" t="s">
        <v>108</v>
      </c>
      <c r="BW287" s="2" t="s">
        <v>606</v>
      </c>
      <c r="BX287" s="2" t="s">
        <v>988</v>
      </c>
      <c r="BY287" s="2" t="s">
        <v>111</v>
      </c>
    </row>
    <row r="288">
      <c r="A288" s="2" t="s">
        <v>1101</v>
      </c>
      <c r="B288" s="2" t="s">
        <v>86</v>
      </c>
      <c r="C288" s="2" t="s">
        <v>87</v>
      </c>
      <c r="D288" s="2" t="s">
        <v>88</v>
      </c>
      <c r="E288" s="2" t="s">
        <v>837</v>
      </c>
      <c r="F288" s="2" t="s">
        <v>1094</v>
      </c>
      <c r="G288" s="2" t="s">
        <v>1095</v>
      </c>
      <c r="H288" s="2" t="s">
        <v>1096</v>
      </c>
      <c r="I288" s="2" t="s">
        <v>1097</v>
      </c>
      <c r="J288" s="2" t="s">
        <v>851</v>
      </c>
      <c r="K288" s="2" t="s">
        <v>400</v>
      </c>
      <c r="L288" s="3">
        <v>29.25</v>
      </c>
      <c r="M288" s="3">
        <v>30.71</v>
      </c>
      <c r="N288" s="3">
        <v>64.99</v>
      </c>
      <c r="O288" s="2" t="s">
        <v>95</v>
      </c>
      <c r="P288" s="2" t="s">
        <v>150</v>
      </c>
      <c r="Q288" s="2" t="s">
        <v>97</v>
      </c>
      <c r="R288" s="2" t="s">
        <v>98</v>
      </c>
      <c r="S288" s="2" t="s">
        <v>1098</v>
      </c>
      <c r="T288" s="2" t="s">
        <v>878</v>
      </c>
      <c r="U288" s="2" t="s">
        <v>100</v>
      </c>
      <c r="V288" s="2" t="s">
        <v>101</v>
      </c>
      <c r="W288" s="2" t="s">
        <v>335</v>
      </c>
      <c r="X288" s="2" t="s">
        <v>98</v>
      </c>
      <c r="Y288" s="2" t="s">
        <v>1099</v>
      </c>
      <c r="Z288" s="4">
        <v>221</v>
      </c>
      <c r="AA288" s="4">
        <f>=ROUNDDOWN(31.5714285714286,0)</f>
      </c>
      <c r="AB288" s="5">
        <v>7</v>
      </c>
      <c r="AC288" s="2" t="s">
        <v>250</v>
      </c>
      <c r="AD288" s="4">
        <v>186</v>
      </c>
      <c r="AE288" s="4">
        <v>306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79</v>
      </c>
      <c r="BK288" s="8">
        <v>2595.09</v>
      </c>
      <c r="BL288" s="2" t="s">
        <v>1102</v>
      </c>
      <c r="BM288" s="7"/>
      <c r="BN288" s="7"/>
      <c r="BO288" s="4"/>
      <c r="BP288" s="8"/>
      <c r="BQ288" s="4"/>
      <c r="BR288" s="8"/>
      <c r="BS288" s="7"/>
      <c r="BT288" s="7"/>
      <c r="BU288" s="2" t="s">
        <v>211</v>
      </c>
      <c r="BV288" s="2" t="s">
        <v>95</v>
      </c>
      <c r="BW288" s="2" t="s">
        <v>606</v>
      </c>
      <c r="BX288" s="2" t="s">
        <v>1103</v>
      </c>
      <c r="BY288" s="2" t="s">
        <v>111</v>
      </c>
    </row>
    <row r="289">
      <c r="A289" s="2" t="s">
        <v>1104</v>
      </c>
      <c r="B289" s="2" t="s">
        <v>86</v>
      </c>
      <c r="C289" s="2" t="s">
        <v>87</v>
      </c>
      <c r="D289" s="2" t="s">
        <v>88</v>
      </c>
      <c r="E289" s="2" t="s">
        <v>837</v>
      </c>
      <c r="F289" s="2" t="s">
        <v>1094</v>
      </c>
      <c r="G289" s="2" t="s">
        <v>1095</v>
      </c>
      <c r="H289" s="2" t="s">
        <v>1096</v>
      </c>
      <c r="I289" s="2" t="s">
        <v>1097</v>
      </c>
      <c r="J289" s="2" t="s">
        <v>854</v>
      </c>
      <c r="K289" s="2" t="s">
        <v>400</v>
      </c>
      <c r="L289" s="3">
        <v>32.2</v>
      </c>
      <c r="M289" s="3">
        <v>33.81</v>
      </c>
      <c r="N289" s="3">
        <v>69.99</v>
      </c>
      <c r="O289" s="2" t="s">
        <v>95</v>
      </c>
      <c r="P289" s="2" t="s">
        <v>150</v>
      </c>
      <c r="Q289" s="2" t="s">
        <v>97</v>
      </c>
      <c r="R289" s="2" t="s">
        <v>98</v>
      </c>
      <c r="S289" s="2" t="s">
        <v>1098</v>
      </c>
      <c r="T289" s="2" t="s">
        <v>878</v>
      </c>
      <c r="U289" s="2" t="s">
        <v>100</v>
      </c>
      <c r="V289" s="2" t="s">
        <v>101</v>
      </c>
      <c r="W289" s="2" t="s">
        <v>335</v>
      </c>
      <c r="X289" s="2" t="s">
        <v>98</v>
      </c>
      <c r="Y289" s="2" t="s">
        <v>1099</v>
      </c>
      <c r="Z289" s="4">
        <v>220</v>
      </c>
      <c r="AA289" s="4">
        <f>=ROUNDDOWN(31.4285714285714,0)</f>
      </c>
      <c r="AB289" s="5">
        <v>7</v>
      </c>
      <c r="AC289" s="2" t="s">
        <v>250</v>
      </c>
      <c r="AD289" s="4">
        <v>144</v>
      </c>
      <c r="AE289" s="4">
        <v>264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43</v>
      </c>
      <c r="BK289" s="8">
        <v>1542.55</v>
      </c>
      <c r="BL289" s="2" t="s">
        <v>1105</v>
      </c>
      <c r="BM289" s="7"/>
      <c r="BN289" s="7"/>
      <c r="BO289" s="4"/>
      <c r="BP289" s="8"/>
      <c r="BQ289" s="4"/>
      <c r="BR289" s="8"/>
      <c r="BS289" s="7"/>
      <c r="BT289" s="7"/>
      <c r="BU289" s="2" t="s">
        <v>211</v>
      </c>
      <c r="BV289" s="2" t="s">
        <v>95</v>
      </c>
      <c r="BW289" s="2" t="s">
        <v>606</v>
      </c>
      <c r="BX289" s="2" t="s">
        <v>1103</v>
      </c>
      <c r="BY289" s="2" t="s">
        <v>111</v>
      </c>
    </row>
    <row r="290">
      <c r="A290" s="2" t="s">
        <v>1106</v>
      </c>
      <c r="B290" s="2" t="s">
        <v>86</v>
      </c>
      <c r="C290" s="2" t="s">
        <v>87</v>
      </c>
      <c r="D290" s="2" t="s">
        <v>88</v>
      </c>
      <c r="E290" s="2" t="s">
        <v>837</v>
      </c>
      <c r="F290" s="2" t="s">
        <v>1094</v>
      </c>
      <c r="G290" s="2" t="s">
        <v>1095</v>
      </c>
      <c r="H290" s="2" t="s">
        <v>1096</v>
      </c>
      <c r="I290" s="2" t="s">
        <v>1097</v>
      </c>
      <c r="J290" s="2" t="s">
        <v>858</v>
      </c>
      <c r="K290" s="2" t="s">
        <v>400</v>
      </c>
      <c r="L290" s="3">
        <v>34.5</v>
      </c>
      <c r="M290" s="3">
        <v>36.23</v>
      </c>
      <c r="N290" s="3">
        <v>74.99</v>
      </c>
      <c r="O290" s="2" t="s">
        <v>95</v>
      </c>
      <c r="P290" s="2" t="s">
        <v>150</v>
      </c>
      <c r="Q290" s="2" t="s">
        <v>97</v>
      </c>
      <c r="R290" s="2" t="s">
        <v>98</v>
      </c>
      <c r="S290" s="2" t="s">
        <v>1098</v>
      </c>
      <c r="T290" s="2" t="s">
        <v>878</v>
      </c>
      <c r="U290" s="2" t="s">
        <v>100</v>
      </c>
      <c r="V290" s="2" t="s">
        <v>101</v>
      </c>
      <c r="W290" s="2" t="s">
        <v>335</v>
      </c>
      <c r="X290" s="2" t="s">
        <v>98</v>
      </c>
      <c r="Y290" s="2" t="s">
        <v>1099</v>
      </c>
      <c r="Z290" s="4">
        <v>106</v>
      </c>
      <c r="AA290" s="4">
        <f>=ROUNDDOWN(8.83333333333333,0)</f>
      </c>
      <c r="AB290" s="5">
        <v>12</v>
      </c>
      <c r="AC290" s="2" t="s">
        <v>272</v>
      </c>
      <c r="AD290" s="4">
        <v>408</v>
      </c>
      <c r="AE290" s="4">
        <v>408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123</v>
      </c>
      <c r="BK290" s="8">
        <v>4798.49</v>
      </c>
      <c r="BL290" s="2" t="s">
        <v>1107</v>
      </c>
      <c r="BM290" s="7"/>
      <c r="BN290" s="7"/>
      <c r="BO290" s="4"/>
      <c r="BP290" s="8"/>
      <c r="BQ290" s="4"/>
      <c r="BR290" s="8"/>
      <c r="BS290" s="7"/>
      <c r="BT290" s="7"/>
      <c r="BU290" s="2" t="s">
        <v>211</v>
      </c>
      <c r="BV290" s="2" t="s">
        <v>95</v>
      </c>
      <c r="BW290" s="2" t="s">
        <v>606</v>
      </c>
      <c r="BX290" s="2" t="s">
        <v>1108</v>
      </c>
      <c r="BY290" s="2" t="s">
        <v>111</v>
      </c>
    </row>
    <row r="291">
      <c r="A291" s="2" t="s">
        <v>1109</v>
      </c>
      <c r="B291" s="2" t="s">
        <v>86</v>
      </c>
      <c r="C291" s="2" t="s">
        <v>87</v>
      </c>
      <c r="D291" s="2" t="s">
        <v>88</v>
      </c>
      <c r="E291" s="2" t="s">
        <v>837</v>
      </c>
      <c r="F291" s="2" t="s">
        <v>1094</v>
      </c>
      <c r="G291" s="2" t="s">
        <v>1095</v>
      </c>
      <c r="H291" s="2" t="s">
        <v>1096</v>
      </c>
      <c r="I291" s="2" t="s">
        <v>1097</v>
      </c>
      <c r="J291" s="2" t="s">
        <v>903</v>
      </c>
      <c r="K291" s="2" t="s">
        <v>400</v>
      </c>
      <c r="L291" s="3">
        <v>38.4</v>
      </c>
      <c r="M291" s="3">
        <v>40.32</v>
      </c>
      <c r="N291" s="3">
        <v>79.99</v>
      </c>
      <c r="O291" s="2" t="s">
        <v>95</v>
      </c>
      <c r="P291" s="2" t="s">
        <v>150</v>
      </c>
      <c r="Q291" s="2" t="s">
        <v>97</v>
      </c>
      <c r="R291" s="2" t="s">
        <v>98</v>
      </c>
      <c r="S291" s="2" t="s">
        <v>1098</v>
      </c>
      <c r="T291" s="2" t="s">
        <v>878</v>
      </c>
      <c r="U291" s="2" t="s">
        <v>100</v>
      </c>
      <c r="V291" s="2" t="s">
        <v>101</v>
      </c>
      <c r="W291" s="2" t="s">
        <v>335</v>
      </c>
      <c r="X291" s="2" t="s">
        <v>98</v>
      </c>
      <c r="Y291" s="2" t="s">
        <v>1099</v>
      </c>
      <c r="Z291" s="4">
        <v>114</v>
      </c>
      <c r="AA291" s="4">
        <f>=ROUNDDOWN(16.2857142857143,0)</f>
      </c>
      <c r="AB291" s="5">
        <v>7</v>
      </c>
      <c r="AC291" s="2" t="s">
        <v>250</v>
      </c>
      <c r="AD291" s="4">
        <v>90</v>
      </c>
      <c r="AE291" s="4">
        <v>318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43.55</v>
      </c>
      <c r="AR291" s="4"/>
      <c r="AS291" s="8"/>
      <c r="AT291" s="7"/>
      <c r="AU291" s="7"/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>
        <v>0.2623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77</v>
      </c>
      <c r="BK291" s="8">
        <v>3304.47</v>
      </c>
      <c r="BL291" s="2" t="s">
        <v>287</v>
      </c>
      <c r="BM291" s="7">
        <v>0.013</v>
      </c>
      <c r="BN291" s="7">
        <v>0.0132</v>
      </c>
      <c r="BO291" s="4">
        <v>1</v>
      </c>
      <c r="BP291" s="8">
        <v>43.55</v>
      </c>
      <c r="BQ291" s="4"/>
      <c r="BR291" s="8"/>
      <c r="BS291" s="7"/>
      <c r="BT291" s="7"/>
      <c r="BU291" s="2" t="s">
        <v>107</v>
      </c>
      <c r="BV291" s="2" t="s">
        <v>108</v>
      </c>
      <c r="BW291" s="2" t="s">
        <v>606</v>
      </c>
      <c r="BX291" s="2" t="s">
        <v>1110</v>
      </c>
      <c r="BY291" s="2" t="s">
        <v>111</v>
      </c>
    </row>
    <row r="292">
      <c r="A292" s="2" t="s">
        <v>1111</v>
      </c>
      <c r="B292" s="2" t="s">
        <v>86</v>
      </c>
      <c r="C292" s="2" t="s">
        <v>87</v>
      </c>
      <c r="D292" s="2" t="s">
        <v>88</v>
      </c>
      <c r="E292" s="2" t="s">
        <v>837</v>
      </c>
      <c r="F292" s="2" t="s">
        <v>1094</v>
      </c>
      <c r="G292" s="2" t="s">
        <v>1095</v>
      </c>
      <c r="H292" s="2" t="s">
        <v>1096</v>
      </c>
      <c r="I292" s="2" t="s">
        <v>1097</v>
      </c>
      <c r="J292" s="2" t="s">
        <v>842</v>
      </c>
      <c r="K292" s="2" t="s">
        <v>458</v>
      </c>
      <c r="L292" s="3">
        <v>27</v>
      </c>
      <c r="M292" s="3">
        <v>28.35</v>
      </c>
      <c r="N292" s="3">
        <v>59.99</v>
      </c>
      <c r="O292" s="2" t="s">
        <v>95</v>
      </c>
      <c r="P292" s="2" t="s">
        <v>215</v>
      </c>
      <c r="Q292" s="2" t="s">
        <v>97</v>
      </c>
      <c r="R292" s="2" t="s">
        <v>98</v>
      </c>
      <c r="S292" s="2" t="s">
        <v>1112</v>
      </c>
      <c r="T292" s="2" t="s">
        <v>878</v>
      </c>
      <c r="U292" s="2" t="s">
        <v>100</v>
      </c>
      <c r="V292" s="2" t="s">
        <v>101</v>
      </c>
      <c r="W292" s="2" t="s">
        <v>335</v>
      </c>
      <c r="X292" s="2" t="s">
        <v>98</v>
      </c>
      <c r="Y292" s="2" t="s">
        <v>1099</v>
      </c>
      <c r="Z292" s="4">
        <v>35</v>
      </c>
      <c r="AA292" s="4">
        <f>=ROUNDDOWN(35,0)</f>
      </c>
      <c r="AB292" s="5">
        <v>1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30.62</v>
      </c>
      <c r="AR292" s="4"/>
      <c r="AS292" s="8"/>
      <c r="AT292" s="7"/>
      <c r="AU292" s="7"/>
      <c r="AV292" s="4">
        <v>1</v>
      </c>
      <c r="AW292" s="8">
        <v>30.62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>
        <v>1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>
        <v>0.1557</v>
      </c>
      <c r="BJ292" s="4">
        <v>26</v>
      </c>
      <c r="BK292" s="8">
        <v>804.14</v>
      </c>
      <c r="BL292" s="2" t="s">
        <v>1113</v>
      </c>
      <c r="BM292" s="7">
        <v>0.0385</v>
      </c>
      <c r="BN292" s="7">
        <v>0.0381</v>
      </c>
      <c r="BO292" s="4">
        <v>1</v>
      </c>
      <c r="BP292" s="8">
        <v>30.62</v>
      </c>
      <c r="BQ292" s="4"/>
      <c r="BR292" s="8"/>
      <c r="BS292" s="7"/>
      <c r="BT292" s="7"/>
      <c r="BU292" s="2" t="s">
        <v>107</v>
      </c>
      <c r="BV292" s="2" t="s">
        <v>108</v>
      </c>
      <c r="BW292" s="2" t="s">
        <v>1114</v>
      </c>
      <c r="BX292" s="2" t="s">
        <v>1115</v>
      </c>
      <c r="BY292" s="2" t="s">
        <v>111</v>
      </c>
    </row>
    <row r="293">
      <c r="A293" s="2" t="s">
        <v>1116</v>
      </c>
      <c r="B293" s="2" t="s">
        <v>86</v>
      </c>
      <c r="C293" s="2" t="s">
        <v>87</v>
      </c>
      <c r="D293" s="2" t="s">
        <v>88</v>
      </c>
      <c r="E293" s="2" t="s">
        <v>837</v>
      </c>
      <c r="F293" s="2" t="s">
        <v>1094</v>
      </c>
      <c r="G293" s="2" t="s">
        <v>1095</v>
      </c>
      <c r="H293" s="2" t="s">
        <v>1096</v>
      </c>
      <c r="I293" s="2" t="s">
        <v>1097</v>
      </c>
      <c r="J293" s="2" t="s">
        <v>851</v>
      </c>
      <c r="K293" s="2" t="s">
        <v>458</v>
      </c>
      <c r="L293" s="3">
        <v>29.25</v>
      </c>
      <c r="M293" s="3">
        <v>30.71</v>
      </c>
      <c r="N293" s="3">
        <v>64.99</v>
      </c>
      <c r="O293" s="2" t="s">
        <v>95</v>
      </c>
      <c r="P293" s="2" t="s">
        <v>215</v>
      </c>
      <c r="Q293" s="2" t="s">
        <v>97</v>
      </c>
      <c r="R293" s="2" t="s">
        <v>98</v>
      </c>
      <c r="S293" s="2" t="s">
        <v>1112</v>
      </c>
      <c r="T293" s="2" t="s">
        <v>878</v>
      </c>
      <c r="U293" s="2" t="s">
        <v>100</v>
      </c>
      <c r="V293" s="2" t="s">
        <v>101</v>
      </c>
      <c r="W293" s="2" t="s">
        <v>335</v>
      </c>
      <c r="X293" s="2" t="s">
        <v>98</v>
      </c>
      <c r="Y293" s="2" t="s">
        <v>1099</v>
      </c>
      <c r="Z293" s="4">
        <v>69</v>
      </c>
      <c r="AA293" s="4">
        <f>=ROUNDDOWN(36.3157894736842,0)</f>
      </c>
      <c r="AB293" s="5">
        <v>1.9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40</v>
      </c>
      <c r="BK293" s="8">
        <v>1325.65</v>
      </c>
      <c r="BL293" s="2" t="s">
        <v>1117</v>
      </c>
      <c r="BM293" s="7"/>
      <c r="BN293" s="7"/>
      <c r="BO293" s="4"/>
      <c r="BP293" s="8"/>
      <c r="BQ293" s="4"/>
      <c r="BR293" s="8"/>
      <c r="BS293" s="7"/>
      <c r="BT293" s="7"/>
      <c r="BU293" s="2" t="s">
        <v>211</v>
      </c>
      <c r="BV293" s="2" t="s">
        <v>95</v>
      </c>
      <c r="BW293" s="2" t="s">
        <v>606</v>
      </c>
      <c r="BX293" s="2" t="s">
        <v>1089</v>
      </c>
      <c r="BY293" s="2" t="s">
        <v>111</v>
      </c>
    </row>
    <row r="294">
      <c r="A294" s="2" t="s">
        <v>1118</v>
      </c>
      <c r="B294" s="2" t="s">
        <v>86</v>
      </c>
      <c r="C294" s="2" t="s">
        <v>87</v>
      </c>
      <c r="D294" s="2" t="s">
        <v>88</v>
      </c>
      <c r="E294" s="2" t="s">
        <v>837</v>
      </c>
      <c r="F294" s="2" t="s">
        <v>1094</v>
      </c>
      <c r="G294" s="2" t="s">
        <v>1095</v>
      </c>
      <c r="H294" s="2" t="s">
        <v>1096</v>
      </c>
      <c r="I294" s="2" t="s">
        <v>1097</v>
      </c>
      <c r="J294" s="2" t="s">
        <v>854</v>
      </c>
      <c r="K294" s="2" t="s">
        <v>458</v>
      </c>
      <c r="L294" s="3">
        <v>32.2</v>
      </c>
      <c r="M294" s="3">
        <v>33.81</v>
      </c>
      <c r="N294" s="3">
        <v>69.99</v>
      </c>
      <c r="O294" s="2" t="s">
        <v>95</v>
      </c>
      <c r="P294" s="2" t="s">
        <v>215</v>
      </c>
      <c r="Q294" s="2" t="s">
        <v>97</v>
      </c>
      <c r="R294" s="2" t="s">
        <v>98</v>
      </c>
      <c r="S294" s="2" t="s">
        <v>1112</v>
      </c>
      <c r="T294" s="2" t="s">
        <v>878</v>
      </c>
      <c r="U294" s="2" t="s">
        <v>100</v>
      </c>
      <c r="V294" s="2" t="s">
        <v>101</v>
      </c>
      <c r="W294" s="2" t="s">
        <v>335</v>
      </c>
      <c r="X294" s="2" t="s">
        <v>98</v>
      </c>
      <c r="Y294" s="2" t="s">
        <v>1099</v>
      </c>
      <c r="Z294" s="4">
        <v>50</v>
      </c>
      <c r="AA294" s="4">
        <f>=ROUNDDOWN({0},0)</f>
      </c>
      <c r="AB294" s="5"/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 t="s">
        <v>98</v>
      </c>
      <c r="BJ294" s="4">
        <v>31</v>
      </c>
      <c r="BK294" s="8">
        <v>1124.02</v>
      </c>
      <c r="BL294" s="2" t="s">
        <v>1119</v>
      </c>
      <c r="BM294" s="7"/>
      <c r="BN294" s="7"/>
      <c r="BO294" s="4"/>
      <c r="BP294" s="8"/>
      <c r="BQ294" s="4"/>
      <c r="BR294" s="8"/>
      <c r="BS294" s="7"/>
      <c r="BT294" s="7"/>
      <c r="BU294" s="2" t="s">
        <v>211</v>
      </c>
      <c r="BV294" s="2" t="s">
        <v>95</v>
      </c>
      <c r="BW294" s="2" t="s">
        <v>546</v>
      </c>
      <c r="BX294" s="2" t="s">
        <v>98</v>
      </c>
      <c r="BY294" s="2" t="s">
        <v>111</v>
      </c>
    </row>
    <row r="295">
      <c r="A295" s="2" t="s">
        <v>1120</v>
      </c>
      <c r="B295" s="2" t="s">
        <v>86</v>
      </c>
      <c r="C295" s="2" t="s">
        <v>87</v>
      </c>
      <c r="D295" s="2" t="s">
        <v>88</v>
      </c>
      <c r="E295" s="2" t="s">
        <v>837</v>
      </c>
      <c r="F295" s="2" t="s">
        <v>1094</v>
      </c>
      <c r="G295" s="2" t="s">
        <v>1095</v>
      </c>
      <c r="H295" s="2" t="s">
        <v>1096</v>
      </c>
      <c r="I295" s="2" t="s">
        <v>1097</v>
      </c>
      <c r="J295" s="2" t="s">
        <v>858</v>
      </c>
      <c r="K295" s="2" t="s">
        <v>458</v>
      </c>
      <c r="L295" s="3">
        <v>34.5</v>
      </c>
      <c r="M295" s="3">
        <v>36.23</v>
      </c>
      <c r="N295" s="3">
        <v>74.99</v>
      </c>
      <c r="O295" s="2" t="s">
        <v>95</v>
      </c>
      <c r="P295" s="2" t="s">
        <v>215</v>
      </c>
      <c r="Q295" s="2" t="s">
        <v>97</v>
      </c>
      <c r="R295" s="2" t="s">
        <v>98</v>
      </c>
      <c r="S295" s="2" t="s">
        <v>1112</v>
      </c>
      <c r="T295" s="2" t="s">
        <v>878</v>
      </c>
      <c r="U295" s="2" t="s">
        <v>100</v>
      </c>
      <c r="V295" s="2" t="s">
        <v>101</v>
      </c>
      <c r="W295" s="2" t="s">
        <v>335</v>
      </c>
      <c r="X295" s="2" t="s">
        <v>98</v>
      </c>
      <c r="Y295" s="2" t="s">
        <v>1099</v>
      </c>
      <c r="Z295" s="4">
        <v>186</v>
      </c>
      <c r="AA295" s="4">
        <f>=ROUNDDOWN(46.5,0)</f>
      </c>
      <c r="AB295" s="5">
        <v>4</v>
      </c>
      <c r="AC295" s="2" t="s">
        <v>98</v>
      </c>
      <c r="AD295" s="4"/>
      <c r="AE295" s="4"/>
      <c r="AF295" s="6">
        <v>65</v>
      </c>
      <c r="AG295" s="6"/>
      <c r="AH295" s="7">
        <v>0.6667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51</v>
      </c>
      <c r="BK295" s="8">
        <v>1970.85</v>
      </c>
      <c r="BL295" s="2" t="s">
        <v>1121</v>
      </c>
      <c r="BM295" s="7"/>
      <c r="BN295" s="7"/>
      <c r="BO295" s="4"/>
      <c r="BP295" s="8"/>
      <c r="BQ295" s="4"/>
      <c r="BR295" s="8"/>
      <c r="BS295" s="7"/>
      <c r="BT295" s="7"/>
      <c r="BU295" s="2" t="s">
        <v>211</v>
      </c>
      <c r="BV295" s="2" t="s">
        <v>95</v>
      </c>
      <c r="BW295" s="2" t="s">
        <v>606</v>
      </c>
      <c r="BX295" s="2" t="s">
        <v>1089</v>
      </c>
      <c r="BY295" s="2" t="s">
        <v>111</v>
      </c>
    </row>
    <row r="296">
      <c r="A296" s="2" t="s">
        <v>1122</v>
      </c>
      <c r="B296" s="2" t="s">
        <v>86</v>
      </c>
      <c r="C296" s="2" t="s">
        <v>87</v>
      </c>
      <c r="D296" s="2" t="s">
        <v>88</v>
      </c>
      <c r="E296" s="2" t="s">
        <v>837</v>
      </c>
      <c r="F296" s="2" t="s">
        <v>1094</v>
      </c>
      <c r="G296" s="2" t="s">
        <v>1095</v>
      </c>
      <c r="H296" s="2" t="s">
        <v>1096</v>
      </c>
      <c r="I296" s="2" t="s">
        <v>1097</v>
      </c>
      <c r="J296" s="2" t="s">
        <v>903</v>
      </c>
      <c r="K296" s="2" t="s">
        <v>458</v>
      </c>
      <c r="L296" s="3">
        <v>38.4</v>
      </c>
      <c r="M296" s="3">
        <v>40.32</v>
      </c>
      <c r="N296" s="3">
        <v>79.99</v>
      </c>
      <c r="O296" s="2" t="s">
        <v>95</v>
      </c>
      <c r="P296" s="2" t="s">
        <v>215</v>
      </c>
      <c r="Q296" s="2" t="s">
        <v>97</v>
      </c>
      <c r="R296" s="2" t="s">
        <v>98</v>
      </c>
      <c r="S296" s="2" t="s">
        <v>1112</v>
      </c>
      <c r="T296" s="2" t="s">
        <v>878</v>
      </c>
      <c r="U296" s="2" t="s">
        <v>100</v>
      </c>
      <c r="V296" s="2" t="s">
        <v>101</v>
      </c>
      <c r="W296" s="2" t="s">
        <v>335</v>
      </c>
      <c r="X296" s="2" t="s">
        <v>98</v>
      </c>
      <c r="Y296" s="2" t="s">
        <v>1099</v>
      </c>
      <c r="Z296" s="4">
        <v>76</v>
      </c>
      <c r="AA296" s="4">
        <f>=ROUNDDOWN(38,0)</f>
      </c>
      <c r="AB296" s="5">
        <v>2</v>
      </c>
      <c r="AC296" s="2" t="s">
        <v>98</v>
      </c>
      <c r="AD296" s="4"/>
      <c r="AE296" s="4"/>
      <c r="AF296" s="6">
        <v>65</v>
      </c>
      <c r="AG296" s="6"/>
      <c r="AH296" s="7">
        <v>0.4333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 t="s">
        <v>98</v>
      </c>
      <c r="BJ296" s="4">
        <v>22</v>
      </c>
      <c r="BK296" s="8">
        <v>953.24</v>
      </c>
      <c r="BL296" s="2" t="s">
        <v>1123</v>
      </c>
      <c r="BM296" s="7"/>
      <c r="BN296" s="7"/>
      <c r="BO296" s="4"/>
      <c r="BP296" s="8"/>
      <c r="BQ296" s="4"/>
      <c r="BR296" s="8"/>
      <c r="BS296" s="7"/>
      <c r="BT296" s="7"/>
      <c r="BU296" s="2" t="s">
        <v>211</v>
      </c>
      <c r="BV296" s="2" t="s">
        <v>95</v>
      </c>
      <c r="BW296" s="2" t="s">
        <v>546</v>
      </c>
      <c r="BX296" s="2" t="s">
        <v>98</v>
      </c>
      <c r="BY296" s="2" t="s">
        <v>111</v>
      </c>
    </row>
    <row r="297">
      <c r="A297" s="2" t="s">
        <v>1124</v>
      </c>
      <c r="B297" s="2" t="s">
        <v>86</v>
      </c>
      <c r="C297" s="2" t="s">
        <v>87</v>
      </c>
      <c r="D297" s="2" t="s">
        <v>88</v>
      </c>
      <c r="E297" s="2" t="s">
        <v>837</v>
      </c>
      <c r="F297" s="2" t="s">
        <v>1094</v>
      </c>
      <c r="G297" s="2" t="s">
        <v>1095</v>
      </c>
      <c r="H297" s="2" t="s">
        <v>1096</v>
      </c>
      <c r="I297" s="2" t="s">
        <v>1097</v>
      </c>
      <c r="J297" s="2" t="s">
        <v>842</v>
      </c>
      <c r="K297" s="2" t="s">
        <v>464</v>
      </c>
      <c r="L297" s="3">
        <v>27</v>
      </c>
      <c r="M297" s="3">
        <v>28.35</v>
      </c>
      <c r="N297" s="3">
        <v>59.99</v>
      </c>
      <c r="O297" s="2" t="s">
        <v>95</v>
      </c>
      <c r="P297" s="2" t="s">
        <v>215</v>
      </c>
      <c r="Q297" s="2" t="s">
        <v>97</v>
      </c>
      <c r="R297" s="2" t="s">
        <v>98</v>
      </c>
      <c r="S297" s="2" t="s">
        <v>1125</v>
      </c>
      <c r="T297" s="2" t="s">
        <v>878</v>
      </c>
      <c r="U297" s="2" t="s">
        <v>100</v>
      </c>
      <c r="V297" s="2" t="s">
        <v>101</v>
      </c>
      <c r="W297" s="2" t="s">
        <v>335</v>
      </c>
      <c r="X297" s="2" t="s">
        <v>98</v>
      </c>
      <c r="Y297" s="2" t="s">
        <v>909</v>
      </c>
      <c r="Z297" s="4">
        <v>96</v>
      </c>
      <c r="AA297" s="4">
        <f>=ROUNDDOWN(96,0)</f>
      </c>
      <c r="AB297" s="5">
        <v>1</v>
      </c>
      <c r="AC297" s="2" t="s">
        <v>98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 t="s">
        <v>98</v>
      </c>
      <c r="BJ297" s="4">
        <v>20</v>
      </c>
      <c r="BK297" s="8">
        <v>580.56</v>
      </c>
      <c r="BL297" s="2" t="s">
        <v>1126</v>
      </c>
      <c r="BM297" s="7"/>
      <c r="BN297" s="7"/>
      <c r="BO297" s="4"/>
      <c r="BP297" s="8"/>
      <c r="BQ297" s="4"/>
      <c r="BR297" s="8"/>
      <c r="BS297" s="7"/>
      <c r="BT297" s="7"/>
      <c r="BU297" s="2" t="s">
        <v>211</v>
      </c>
      <c r="BV297" s="2" t="s">
        <v>95</v>
      </c>
      <c r="BW297" s="2" t="s">
        <v>911</v>
      </c>
      <c r="BX297" s="2" t="s">
        <v>1127</v>
      </c>
      <c r="BY297" s="2" t="s">
        <v>111</v>
      </c>
    </row>
    <row r="298">
      <c r="A298" s="2" t="s">
        <v>1128</v>
      </c>
      <c r="B298" s="2" t="s">
        <v>86</v>
      </c>
      <c r="C298" s="2" t="s">
        <v>87</v>
      </c>
      <c r="D298" s="2" t="s">
        <v>88</v>
      </c>
      <c r="E298" s="2" t="s">
        <v>837</v>
      </c>
      <c r="F298" s="2" t="s">
        <v>1094</v>
      </c>
      <c r="G298" s="2" t="s">
        <v>1095</v>
      </c>
      <c r="H298" s="2" t="s">
        <v>1096</v>
      </c>
      <c r="I298" s="2" t="s">
        <v>1097</v>
      </c>
      <c r="J298" s="2" t="s">
        <v>851</v>
      </c>
      <c r="K298" s="2" t="s">
        <v>464</v>
      </c>
      <c r="L298" s="3">
        <v>29.25</v>
      </c>
      <c r="M298" s="3">
        <v>30.71</v>
      </c>
      <c r="N298" s="3">
        <v>64.99</v>
      </c>
      <c r="O298" s="2" t="s">
        <v>95</v>
      </c>
      <c r="P298" s="2" t="s">
        <v>215</v>
      </c>
      <c r="Q298" s="2" t="s">
        <v>97</v>
      </c>
      <c r="R298" s="2" t="s">
        <v>98</v>
      </c>
      <c r="S298" s="2" t="s">
        <v>1125</v>
      </c>
      <c r="T298" s="2" t="s">
        <v>878</v>
      </c>
      <c r="U298" s="2" t="s">
        <v>100</v>
      </c>
      <c r="V298" s="2" t="s">
        <v>101</v>
      </c>
      <c r="W298" s="2" t="s">
        <v>335</v>
      </c>
      <c r="X298" s="2" t="s">
        <v>98</v>
      </c>
      <c r="Y298" s="2" t="s">
        <v>909</v>
      </c>
      <c r="Z298" s="4">
        <v>78</v>
      </c>
      <c r="AA298" s="4">
        <f>=ROUNDDOWN(39,0)</f>
      </c>
      <c r="AB298" s="5">
        <v>2</v>
      </c>
      <c r="AC298" s="2" t="s">
        <v>98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 t="s">
        <v>98</v>
      </c>
      <c r="BJ298" s="4">
        <v>14</v>
      </c>
      <c r="BK298" s="8">
        <v>466.51</v>
      </c>
      <c r="BL298" s="2" t="s">
        <v>910</v>
      </c>
      <c r="BM298" s="7"/>
      <c r="BN298" s="7"/>
      <c r="BO298" s="4"/>
      <c r="BP298" s="8"/>
      <c r="BQ298" s="4"/>
      <c r="BR298" s="8"/>
      <c r="BS298" s="7"/>
      <c r="BT298" s="7"/>
      <c r="BU298" s="2" t="s">
        <v>211</v>
      </c>
      <c r="BV298" s="2" t="s">
        <v>95</v>
      </c>
      <c r="BW298" s="2" t="s">
        <v>911</v>
      </c>
      <c r="BX298" s="2" t="s">
        <v>1129</v>
      </c>
      <c r="BY298" s="2" t="s">
        <v>111</v>
      </c>
    </row>
    <row r="299">
      <c r="A299" s="2" t="s">
        <v>1130</v>
      </c>
      <c r="B299" s="2" t="s">
        <v>86</v>
      </c>
      <c r="C299" s="2" t="s">
        <v>87</v>
      </c>
      <c r="D299" s="2" t="s">
        <v>88</v>
      </c>
      <c r="E299" s="2" t="s">
        <v>837</v>
      </c>
      <c r="F299" s="2" t="s">
        <v>1094</v>
      </c>
      <c r="G299" s="2" t="s">
        <v>1095</v>
      </c>
      <c r="H299" s="2" t="s">
        <v>1096</v>
      </c>
      <c r="I299" s="2" t="s">
        <v>1097</v>
      </c>
      <c r="J299" s="2" t="s">
        <v>854</v>
      </c>
      <c r="K299" s="2" t="s">
        <v>464</v>
      </c>
      <c r="L299" s="3">
        <v>32.2</v>
      </c>
      <c r="M299" s="3">
        <v>33.81</v>
      </c>
      <c r="N299" s="3">
        <v>69.99</v>
      </c>
      <c r="O299" s="2" t="s">
        <v>95</v>
      </c>
      <c r="P299" s="2" t="s">
        <v>215</v>
      </c>
      <c r="Q299" s="2" t="s">
        <v>97</v>
      </c>
      <c r="R299" s="2" t="s">
        <v>98</v>
      </c>
      <c r="S299" s="2" t="s">
        <v>1125</v>
      </c>
      <c r="T299" s="2" t="s">
        <v>878</v>
      </c>
      <c r="U299" s="2" t="s">
        <v>100</v>
      </c>
      <c r="V299" s="2" t="s">
        <v>101</v>
      </c>
      <c r="W299" s="2" t="s">
        <v>335</v>
      </c>
      <c r="X299" s="2" t="s">
        <v>98</v>
      </c>
      <c r="Y299" s="2" t="s">
        <v>909</v>
      </c>
      <c r="Z299" s="4">
        <v>32</v>
      </c>
      <c r="AA299" s="4">
        <f>=ROUNDDOWN(10.6666666666667,0)</f>
      </c>
      <c r="AB299" s="5">
        <v>3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17</v>
      </c>
      <c r="BK299" s="8">
        <v>623.24</v>
      </c>
      <c r="BL299" s="2" t="s">
        <v>1131</v>
      </c>
      <c r="BM299" s="7"/>
      <c r="BN299" s="7"/>
      <c r="BO299" s="4"/>
      <c r="BP299" s="8"/>
      <c r="BQ299" s="4"/>
      <c r="BR299" s="8"/>
      <c r="BS299" s="7"/>
      <c r="BT299" s="7"/>
      <c r="BU299" s="2" t="s">
        <v>211</v>
      </c>
      <c r="BV299" s="2" t="s">
        <v>95</v>
      </c>
      <c r="BW299" s="2" t="s">
        <v>911</v>
      </c>
      <c r="BX299" s="2" t="s">
        <v>1132</v>
      </c>
      <c r="BY299" s="2" t="s">
        <v>111</v>
      </c>
    </row>
    <row r="300">
      <c r="A300" s="2" t="s">
        <v>1133</v>
      </c>
      <c r="B300" s="2" t="s">
        <v>86</v>
      </c>
      <c r="C300" s="2" t="s">
        <v>87</v>
      </c>
      <c r="D300" s="2" t="s">
        <v>88</v>
      </c>
      <c r="E300" s="2" t="s">
        <v>837</v>
      </c>
      <c r="F300" s="2" t="s">
        <v>1094</v>
      </c>
      <c r="G300" s="2" t="s">
        <v>1095</v>
      </c>
      <c r="H300" s="2" t="s">
        <v>1096</v>
      </c>
      <c r="I300" s="2" t="s">
        <v>1097</v>
      </c>
      <c r="J300" s="2" t="s">
        <v>858</v>
      </c>
      <c r="K300" s="2" t="s">
        <v>464</v>
      </c>
      <c r="L300" s="3">
        <v>34.5</v>
      </c>
      <c r="M300" s="3">
        <v>36.23</v>
      </c>
      <c r="N300" s="3">
        <v>74.99</v>
      </c>
      <c r="O300" s="2" t="s">
        <v>95</v>
      </c>
      <c r="P300" s="2" t="s">
        <v>215</v>
      </c>
      <c r="Q300" s="2" t="s">
        <v>97</v>
      </c>
      <c r="R300" s="2" t="s">
        <v>98</v>
      </c>
      <c r="S300" s="2" t="s">
        <v>1125</v>
      </c>
      <c r="T300" s="2" t="s">
        <v>878</v>
      </c>
      <c r="U300" s="2" t="s">
        <v>100</v>
      </c>
      <c r="V300" s="2" t="s">
        <v>101</v>
      </c>
      <c r="W300" s="2" t="s">
        <v>335</v>
      </c>
      <c r="X300" s="2" t="s">
        <v>98</v>
      </c>
      <c r="Y300" s="2" t="s">
        <v>909</v>
      </c>
      <c r="Z300" s="4">
        <v>118</v>
      </c>
      <c r="AA300" s="4">
        <f>=ROUNDDOWN(59,0)</f>
      </c>
      <c r="AB300" s="5">
        <v>2</v>
      </c>
      <c r="AC300" s="2" t="s">
        <v>98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38</v>
      </c>
      <c r="BK300" s="8">
        <v>1490.44</v>
      </c>
      <c r="BL300" s="2" t="s">
        <v>1134</v>
      </c>
      <c r="BM300" s="7"/>
      <c r="BN300" s="7"/>
      <c r="BO300" s="4"/>
      <c r="BP300" s="8"/>
      <c r="BQ300" s="4"/>
      <c r="BR300" s="8"/>
      <c r="BS300" s="7"/>
      <c r="BT300" s="7"/>
      <c r="BU300" s="2" t="s">
        <v>211</v>
      </c>
      <c r="BV300" s="2" t="s">
        <v>95</v>
      </c>
      <c r="BW300" s="2" t="s">
        <v>911</v>
      </c>
      <c r="BX300" s="2" t="s">
        <v>1135</v>
      </c>
      <c r="BY300" s="2" t="s">
        <v>111</v>
      </c>
    </row>
    <row r="301">
      <c r="A301" s="2" t="s">
        <v>1136</v>
      </c>
      <c r="B301" s="2" t="s">
        <v>86</v>
      </c>
      <c r="C301" s="2" t="s">
        <v>87</v>
      </c>
      <c r="D301" s="2" t="s">
        <v>88</v>
      </c>
      <c r="E301" s="2" t="s">
        <v>837</v>
      </c>
      <c r="F301" s="2" t="s">
        <v>1094</v>
      </c>
      <c r="G301" s="2" t="s">
        <v>1095</v>
      </c>
      <c r="H301" s="2" t="s">
        <v>1096</v>
      </c>
      <c r="I301" s="2" t="s">
        <v>1097</v>
      </c>
      <c r="J301" s="2" t="s">
        <v>903</v>
      </c>
      <c r="K301" s="2" t="s">
        <v>464</v>
      </c>
      <c r="L301" s="3">
        <v>38.4</v>
      </c>
      <c r="M301" s="3">
        <v>40.32</v>
      </c>
      <c r="N301" s="3">
        <v>79.99</v>
      </c>
      <c r="O301" s="2" t="s">
        <v>95</v>
      </c>
      <c r="P301" s="2" t="s">
        <v>215</v>
      </c>
      <c r="Q301" s="2" t="s">
        <v>97</v>
      </c>
      <c r="R301" s="2" t="s">
        <v>98</v>
      </c>
      <c r="S301" s="2" t="s">
        <v>1125</v>
      </c>
      <c r="T301" s="2" t="s">
        <v>878</v>
      </c>
      <c r="U301" s="2" t="s">
        <v>100</v>
      </c>
      <c r="V301" s="2" t="s">
        <v>101</v>
      </c>
      <c r="W301" s="2" t="s">
        <v>335</v>
      </c>
      <c r="X301" s="2" t="s">
        <v>98</v>
      </c>
      <c r="Y301" s="2" t="s">
        <v>909</v>
      </c>
      <c r="Z301" s="4">
        <v>98</v>
      </c>
      <c r="AA301" s="4">
        <f>=ROUNDDOWN(490,0)</f>
      </c>
      <c r="AB301" s="5">
        <v>0.2</v>
      </c>
      <c r="AC301" s="2" t="s">
        <v>98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19</v>
      </c>
      <c r="BK301" s="8">
        <v>838.32</v>
      </c>
      <c r="BL301" s="2" t="s">
        <v>942</v>
      </c>
      <c r="BM301" s="7"/>
      <c r="BN301" s="7"/>
      <c r="BO301" s="4"/>
      <c r="BP301" s="8"/>
      <c r="BQ301" s="4"/>
      <c r="BR301" s="8"/>
      <c r="BS301" s="7"/>
      <c r="BT301" s="7"/>
      <c r="BU301" s="2" t="s">
        <v>211</v>
      </c>
      <c r="BV301" s="2" t="s">
        <v>95</v>
      </c>
      <c r="BW301" s="2" t="s">
        <v>911</v>
      </c>
      <c r="BX301" s="2" t="s">
        <v>98</v>
      </c>
      <c r="BY301" s="2" t="s">
        <v>111</v>
      </c>
    </row>
    <row r="302">
      <c r="A302" s="2" t="s">
        <v>1137</v>
      </c>
      <c r="B302" s="2" t="s">
        <v>86</v>
      </c>
      <c r="C302" s="2" t="s">
        <v>87</v>
      </c>
      <c r="D302" s="2" t="s">
        <v>88</v>
      </c>
      <c r="E302" s="2" t="s">
        <v>837</v>
      </c>
      <c r="F302" s="2" t="s">
        <v>1094</v>
      </c>
      <c r="G302" s="2" t="s">
        <v>1095</v>
      </c>
      <c r="H302" s="2" t="s">
        <v>1096</v>
      </c>
      <c r="I302" s="2" t="s">
        <v>1097</v>
      </c>
      <c r="J302" s="2" t="s">
        <v>842</v>
      </c>
      <c r="K302" s="2" t="s">
        <v>323</v>
      </c>
      <c r="L302" s="3">
        <v>27</v>
      </c>
      <c r="M302" s="3">
        <v>28.35</v>
      </c>
      <c r="N302" s="3">
        <v>59.99</v>
      </c>
      <c r="O302" s="2" t="s">
        <v>95</v>
      </c>
      <c r="P302" s="2" t="s">
        <v>215</v>
      </c>
      <c r="Q302" s="2" t="s">
        <v>97</v>
      </c>
      <c r="R302" s="2" t="s">
        <v>98</v>
      </c>
      <c r="S302" s="2" t="s">
        <v>1138</v>
      </c>
      <c r="T302" s="2" t="s">
        <v>878</v>
      </c>
      <c r="U302" s="2" t="s">
        <v>100</v>
      </c>
      <c r="V302" s="2" t="s">
        <v>101</v>
      </c>
      <c r="W302" s="2" t="s">
        <v>335</v>
      </c>
      <c r="X302" s="2" t="s">
        <v>98</v>
      </c>
      <c r="Y302" s="2" t="s">
        <v>1139</v>
      </c>
      <c r="Z302" s="4">
        <v>220</v>
      </c>
      <c r="AA302" s="4">
        <f>=ROUNDDOWN(146.666666666667,0)</f>
      </c>
      <c r="AB302" s="5">
        <v>1.5</v>
      </c>
      <c r="AC302" s="2" t="s">
        <v>98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98</v>
      </c>
      <c r="AW302" s="8" t="s">
        <v>98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 t="s">
        <v>98</v>
      </c>
      <c r="BJ302" s="4">
        <v>8</v>
      </c>
      <c r="BK302" s="8">
        <v>250.21</v>
      </c>
      <c r="BL302" s="2" t="s">
        <v>1134</v>
      </c>
      <c r="BM302" s="7"/>
      <c r="BN302" s="7"/>
      <c r="BO302" s="4"/>
      <c r="BP302" s="8"/>
      <c r="BQ302" s="4"/>
      <c r="BR302" s="8"/>
      <c r="BS302" s="7"/>
      <c r="BT302" s="7"/>
      <c r="BU302" s="2" t="s">
        <v>211</v>
      </c>
      <c r="BV302" s="2" t="s">
        <v>95</v>
      </c>
      <c r="BW302" s="2" t="s">
        <v>911</v>
      </c>
      <c r="BX302" s="2" t="s">
        <v>1140</v>
      </c>
      <c r="BY302" s="2" t="s">
        <v>111</v>
      </c>
    </row>
    <row r="303">
      <c r="A303" s="2" t="s">
        <v>1141</v>
      </c>
      <c r="B303" s="2" t="s">
        <v>86</v>
      </c>
      <c r="C303" s="2" t="s">
        <v>87</v>
      </c>
      <c r="D303" s="2" t="s">
        <v>88</v>
      </c>
      <c r="E303" s="2" t="s">
        <v>837</v>
      </c>
      <c r="F303" s="2" t="s">
        <v>1094</v>
      </c>
      <c r="G303" s="2" t="s">
        <v>1095</v>
      </c>
      <c r="H303" s="2" t="s">
        <v>1096</v>
      </c>
      <c r="I303" s="2" t="s">
        <v>1097</v>
      </c>
      <c r="J303" s="2" t="s">
        <v>851</v>
      </c>
      <c r="K303" s="2" t="s">
        <v>323</v>
      </c>
      <c r="L303" s="3">
        <v>29.25</v>
      </c>
      <c r="M303" s="3">
        <v>30.71</v>
      </c>
      <c r="N303" s="3">
        <v>64.99</v>
      </c>
      <c r="O303" s="2" t="s">
        <v>95</v>
      </c>
      <c r="P303" s="2" t="s">
        <v>215</v>
      </c>
      <c r="Q303" s="2" t="s">
        <v>97</v>
      </c>
      <c r="R303" s="2" t="s">
        <v>98</v>
      </c>
      <c r="S303" s="2" t="s">
        <v>1138</v>
      </c>
      <c r="T303" s="2" t="s">
        <v>878</v>
      </c>
      <c r="U303" s="2" t="s">
        <v>100</v>
      </c>
      <c r="V303" s="2" t="s">
        <v>101</v>
      </c>
      <c r="W303" s="2" t="s">
        <v>335</v>
      </c>
      <c r="X303" s="2" t="s">
        <v>98</v>
      </c>
      <c r="Y303" s="2" t="s">
        <v>1139</v>
      </c>
      <c r="Z303" s="4">
        <v>240</v>
      </c>
      <c r="AA303" s="4">
        <f>=ROUNDDOWN(109.090909090909,0)</f>
      </c>
      <c r="AB303" s="5">
        <v>2.2</v>
      </c>
      <c r="AC303" s="2" t="s">
        <v>98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11</v>
      </c>
      <c r="BK303" s="8">
        <v>360.31</v>
      </c>
      <c r="BL303" s="2" t="s">
        <v>1126</v>
      </c>
      <c r="BM303" s="7"/>
      <c r="BN303" s="7"/>
      <c r="BO303" s="4"/>
      <c r="BP303" s="8"/>
      <c r="BQ303" s="4"/>
      <c r="BR303" s="8"/>
      <c r="BS303" s="7"/>
      <c r="BT303" s="7"/>
      <c r="BU303" s="2" t="s">
        <v>211</v>
      </c>
      <c r="BV303" s="2" t="s">
        <v>95</v>
      </c>
      <c r="BW303" s="2" t="s">
        <v>911</v>
      </c>
      <c r="BX303" s="2" t="s">
        <v>98</v>
      </c>
      <c r="BY303" s="2" t="s">
        <v>111</v>
      </c>
    </row>
    <row r="304">
      <c r="A304" s="2" t="s">
        <v>1142</v>
      </c>
      <c r="B304" s="2" t="s">
        <v>86</v>
      </c>
      <c r="C304" s="2" t="s">
        <v>87</v>
      </c>
      <c r="D304" s="2" t="s">
        <v>88</v>
      </c>
      <c r="E304" s="2" t="s">
        <v>837</v>
      </c>
      <c r="F304" s="2" t="s">
        <v>1094</v>
      </c>
      <c r="G304" s="2" t="s">
        <v>1095</v>
      </c>
      <c r="H304" s="2" t="s">
        <v>1096</v>
      </c>
      <c r="I304" s="2" t="s">
        <v>1097</v>
      </c>
      <c r="J304" s="2" t="s">
        <v>854</v>
      </c>
      <c r="K304" s="2" t="s">
        <v>323</v>
      </c>
      <c r="L304" s="3">
        <v>32.2</v>
      </c>
      <c r="M304" s="3">
        <v>33.81</v>
      </c>
      <c r="N304" s="3">
        <v>69.99</v>
      </c>
      <c r="O304" s="2" t="s">
        <v>95</v>
      </c>
      <c r="P304" s="2" t="s">
        <v>215</v>
      </c>
      <c r="Q304" s="2" t="s">
        <v>97</v>
      </c>
      <c r="R304" s="2" t="s">
        <v>98</v>
      </c>
      <c r="S304" s="2" t="s">
        <v>1138</v>
      </c>
      <c r="T304" s="2" t="s">
        <v>878</v>
      </c>
      <c r="U304" s="2" t="s">
        <v>100</v>
      </c>
      <c r="V304" s="2" t="s">
        <v>101</v>
      </c>
      <c r="W304" s="2" t="s">
        <v>335</v>
      </c>
      <c r="X304" s="2" t="s">
        <v>98</v>
      </c>
      <c r="Y304" s="2" t="s">
        <v>1139</v>
      </c>
      <c r="Z304" s="4">
        <v>246</v>
      </c>
      <c r="AA304" s="4">
        <f>=ROUNDDOWN(164,0)</f>
      </c>
      <c r="AB304" s="5">
        <v>1.5</v>
      </c>
      <c r="AC304" s="2" t="s">
        <v>98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10</v>
      </c>
      <c r="BK304" s="8">
        <v>366.62</v>
      </c>
      <c r="BL304" s="2" t="s">
        <v>910</v>
      </c>
      <c r="BM304" s="7"/>
      <c r="BN304" s="7"/>
      <c r="BO304" s="4"/>
      <c r="BP304" s="8"/>
      <c r="BQ304" s="4"/>
      <c r="BR304" s="8"/>
      <c r="BS304" s="7"/>
      <c r="BT304" s="7"/>
      <c r="BU304" s="2" t="s">
        <v>211</v>
      </c>
      <c r="BV304" s="2" t="s">
        <v>95</v>
      </c>
      <c r="BW304" s="2" t="s">
        <v>911</v>
      </c>
      <c r="BX304" s="2" t="s">
        <v>1143</v>
      </c>
      <c r="BY304" s="2" t="s">
        <v>111</v>
      </c>
    </row>
    <row r="305">
      <c r="A305" s="2" t="s">
        <v>1144</v>
      </c>
      <c r="B305" s="2" t="s">
        <v>86</v>
      </c>
      <c r="C305" s="2" t="s">
        <v>87</v>
      </c>
      <c r="D305" s="2" t="s">
        <v>88</v>
      </c>
      <c r="E305" s="2" t="s">
        <v>837</v>
      </c>
      <c r="F305" s="2" t="s">
        <v>1094</v>
      </c>
      <c r="G305" s="2" t="s">
        <v>1095</v>
      </c>
      <c r="H305" s="2" t="s">
        <v>1096</v>
      </c>
      <c r="I305" s="2" t="s">
        <v>1097</v>
      </c>
      <c r="J305" s="2" t="s">
        <v>858</v>
      </c>
      <c r="K305" s="2" t="s">
        <v>323</v>
      </c>
      <c r="L305" s="3">
        <v>34.5</v>
      </c>
      <c r="M305" s="3">
        <v>36.23</v>
      </c>
      <c r="N305" s="3">
        <v>74.99</v>
      </c>
      <c r="O305" s="2" t="s">
        <v>95</v>
      </c>
      <c r="P305" s="2" t="s">
        <v>215</v>
      </c>
      <c r="Q305" s="2" t="s">
        <v>97</v>
      </c>
      <c r="R305" s="2" t="s">
        <v>98</v>
      </c>
      <c r="S305" s="2" t="s">
        <v>1138</v>
      </c>
      <c r="T305" s="2" t="s">
        <v>878</v>
      </c>
      <c r="U305" s="2" t="s">
        <v>100</v>
      </c>
      <c r="V305" s="2" t="s">
        <v>101</v>
      </c>
      <c r="W305" s="2" t="s">
        <v>335</v>
      </c>
      <c r="X305" s="2" t="s">
        <v>98</v>
      </c>
      <c r="Y305" s="2" t="s">
        <v>1139</v>
      </c>
      <c r="Z305" s="4">
        <v>126</v>
      </c>
      <c r="AA305" s="4">
        <f>=ROUNDDOWN(63,0)</f>
      </c>
      <c r="AB305" s="5">
        <v>2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10</v>
      </c>
      <c r="BK305" s="8">
        <v>403.69</v>
      </c>
      <c r="BL305" s="2" t="s">
        <v>1145</v>
      </c>
      <c r="BM305" s="7"/>
      <c r="BN305" s="7"/>
      <c r="BO305" s="4"/>
      <c r="BP305" s="8"/>
      <c r="BQ305" s="4"/>
      <c r="BR305" s="8"/>
      <c r="BS305" s="7"/>
      <c r="BT305" s="7"/>
      <c r="BU305" s="2" t="s">
        <v>211</v>
      </c>
      <c r="BV305" s="2" t="s">
        <v>95</v>
      </c>
      <c r="BW305" s="2" t="s">
        <v>911</v>
      </c>
      <c r="BX305" s="2" t="s">
        <v>1146</v>
      </c>
      <c r="BY305" s="2" t="s">
        <v>111</v>
      </c>
    </row>
    <row r="306">
      <c r="A306" s="2" t="s">
        <v>1147</v>
      </c>
      <c r="B306" s="2" t="s">
        <v>86</v>
      </c>
      <c r="C306" s="2" t="s">
        <v>87</v>
      </c>
      <c r="D306" s="2" t="s">
        <v>88</v>
      </c>
      <c r="E306" s="2" t="s">
        <v>837</v>
      </c>
      <c r="F306" s="2" t="s">
        <v>1094</v>
      </c>
      <c r="G306" s="2" t="s">
        <v>1095</v>
      </c>
      <c r="H306" s="2" t="s">
        <v>1096</v>
      </c>
      <c r="I306" s="2" t="s">
        <v>1097</v>
      </c>
      <c r="J306" s="2" t="s">
        <v>903</v>
      </c>
      <c r="K306" s="2" t="s">
        <v>323</v>
      </c>
      <c r="L306" s="3">
        <v>38.4</v>
      </c>
      <c r="M306" s="3">
        <v>40.32</v>
      </c>
      <c r="N306" s="3">
        <v>79.99</v>
      </c>
      <c r="O306" s="2" t="s">
        <v>95</v>
      </c>
      <c r="P306" s="2" t="s">
        <v>215</v>
      </c>
      <c r="Q306" s="2" t="s">
        <v>97</v>
      </c>
      <c r="R306" s="2" t="s">
        <v>98</v>
      </c>
      <c r="S306" s="2" t="s">
        <v>1138</v>
      </c>
      <c r="T306" s="2" t="s">
        <v>878</v>
      </c>
      <c r="U306" s="2" t="s">
        <v>100</v>
      </c>
      <c r="V306" s="2" t="s">
        <v>101</v>
      </c>
      <c r="W306" s="2" t="s">
        <v>335</v>
      </c>
      <c r="X306" s="2" t="s">
        <v>98</v>
      </c>
      <c r="Y306" s="2" t="s">
        <v>1139</v>
      </c>
      <c r="Z306" s="4">
        <v>350</v>
      </c>
      <c r="AA306" s="4">
        <f>=ROUNDDOWN(291.666666666667,0)</f>
      </c>
      <c r="AB306" s="5">
        <v>1.2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 t="s">
        <v>98</v>
      </c>
      <c r="BJ306" s="4">
        <v>5</v>
      </c>
      <c r="BK306" s="8">
        <v>220.44</v>
      </c>
      <c r="BL306" s="2" t="s">
        <v>942</v>
      </c>
      <c r="BM306" s="7"/>
      <c r="BN306" s="7"/>
      <c r="BO306" s="4"/>
      <c r="BP306" s="8"/>
      <c r="BQ306" s="4"/>
      <c r="BR306" s="8"/>
      <c r="BS306" s="7"/>
      <c r="BT306" s="7"/>
      <c r="BU306" s="2" t="s">
        <v>211</v>
      </c>
      <c r="BV306" s="2" t="s">
        <v>95</v>
      </c>
      <c r="BW306" s="2" t="s">
        <v>911</v>
      </c>
      <c r="BX306" s="2" t="s">
        <v>98</v>
      </c>
      <c r="BY306" s="2" t="s">
        <v>111</v>
      </c>
    </row>
    <row r="307">
      <c r="A307" s="2" t="s">
        <v>1148</v>
      </c>
      <c r="B307" s="2" t="s">
        <v>86</v>
      </c>
      <c r="C307" s="2" t="s">
        <v>87</v>
      </c>
      <c r="D307" s="2" t="s">
        <v>88</v>
      </c>
      <c r="E307" s="2" t="s">
        <v>837</v>
      </c>
      <c r="F307" s="2" t="s">
        <v>1094</v>
      </c>
      <c r="G307" s="2" t="s">
        <v>1095</v>
      </c>
      <c r="H307" s="2" t="s">
        <v>1096</v>
      </c>
      <c r="I307" s="2" t="s">
        <v>1097</v>
      </c>
      <c r="J307" s="2" t="s">
        <v>842</v>
      </c>
      <c r="K307" s="2" t="s">
        <v>997</v>
      </c>
      <c r="L307" s="3">
        <v>27</v>
      </c>
      <c r="M307" s="3">
        <v>28.35</v>
      </c>
      <c r="N307" s="3">
        <v>59.99</v>
      </c>
      <c r="O307" s="2" t="s">
        <v>95</v>
      </c>
      <c r="P307" s="2" t="s">
        <v>150</v>
      </c>
      <c r="Q307" s="2" t="s">
        <v>97</v>
      </c>
      <c r="R307" s="2" t="s">
        <v>98</v>
      </c>
      <c r="S307" s="2" t="s">
        <v>1149</v>
      </c>
      <c r="T307" s="2" t="s">
        <v>878</v>
      </c>
      <c r="U307" s="2" t="s">
        <v>100</v>
      </c>
      <c r="V307" s="2" t="s">
        <v>101</v>
      </c>
      <c r="W307" s="2" t="s">
        <v>335</v>
      </c>
      <c r="X307" s="2" t="s">
        <v>98</v>
      </c>
      <c r="Y307" s="2" t="s">
        <v>1099</v>
      </c>
      <c r="Z307" s="4">
        <v>108</v>
      </c>
      <c r="AA307" s="4">
        <f>=ROUNDDOWN(21.6,0)</f>
      </c>
      <c r="AB307" s="5">
        <v>5</v>
      </c>
      <c r="AC307" s="2" t="s">
        <v>309</v>
      </c>
      <c r="AD307" s="4">
        <v>72</v>
      </c>
      <c r="AE307" s="4">
        <v>72</v>
      </c>
      <c r="AF307" s="6">
        <v>65</v>
      </c>
      <c r="AG307" s="6"/>
      <c r="AH307" s="7">
        <v>0.6667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57</v>
      </c>
      <c r="BK307" s="8">
        <v>1750.88</v>
      </c>
      <c r="BL307" s="2" t="s">
        <v>1150</v>
      </c>
      <c r="BM307" s="7"/>
      <c r="BN307" s="7"/>
      <c r="BO307" s="4"/>
      <c r="BP307" s="8"/>
      <c r="BQ307" s="4"/>
      <c r="BR307" s="8"/>
      <c r="BS307" s="7"/>
      <c r="BT307" s="7"/>
      <c r="BU307" s="2" t="s">
        <v>211</v>
      </c>
      <c r="BV307" s="2" t="s">
        <v>95</v>
      </c>
      <c r="BW307" s="2" t="s">
        <v>606</v>
      </c>
      <c r="BX307" s="2" t="s">
        <v>1151</v>
      </c>
      <c r="BY307" s="2" t="s">
        <v>111</v>
      </c>
    </row>
    <row r="308">
      <c r="A308" s="2" t="s">
        <v>1152</v>
      </c>
      <c r="B308" s="2" t="s">
        <v>86</v>
      </c>
      <c r="C308" s="2" t="s">
        <v>87</v>
      </c>
      <c r="D308" s="2" t="s">
        <v>88</v>
      </c>
      <c r="E308" s="2" t="s">
        <v>837</v>
      </c>
      <c r="F308" s="2" t="s">
        <v>1094</v>
      </c>
      <c r="G308" s="2" t="s">
        <v>1095</v>
      </c>
      <c r="H308" s="2" t="s">
        <v>1096</v>
      </c>
      <c r="I308" s="2" t="s">
        <v>1097</v>
      </c>
      <c r="J308" s="2" t="s">
        <v>851</v>
      </c>
      <c r="K308" s="2" t="s">
        <v>997</v>
      </c>
      <c r="L308" s="3">
        <v>29.25</v>
      </c>
      <c r="M308" s="3">
        <v>30.71</v>
      </c>
      <c r="N308" s="3">
        <v>64.99</v>
      </c>
      <c r="O308" s="2" t="s">
        <v>95</v>
      </c>
      <c r="P308" s="2" t="s">
        <v>150</v>
      </c>
      <c r="Q308" s="2" t="s">
        <v>97</v>
      </c>
      <c r="R308" s="2" t="s">
        <v>98</v>
      </c>
      <c r="S308" s="2" t="s">
        <v>1149</v>
      </c>
      <c r="T308" s="2" t="s">
        <v>878</v>
      </c>
      <c r="U308" s="2" t="s">
        <v>100</v>
      </c>
      <c r="V308" s="2" t="s">
        <v>101</v>
      </c>
      <c r="W308" s="2" t="s">
        <v>335</v>
      </c>
      <c r="X308" s="2" t="s">
        <v>98</v>
      </c>
      <c r="Y308" s="2" t="s">
        <v>1099</v>
      </c>
      <c r="Z308" s="4">
        <v>75</v>
      </c>
      <c r="AA308" s="4">
        <f>=ROUNDDOWN(18.75,0)</f>
      </c>
      <c r="AB308" s="5">
        <v>4</v>
      </c>
      <c r="AC308" s="2" t="s">
        <v>309</v>
      </c>
      <c r="AD308" s="4">
        <v>60</v>
      </c>
      <c r="AE308" s="4">
        <v>150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45</v>
      </c>
      <c r="BK308" s="8">
        <v>1444.92</v>
      </c>
      <c r="BL308" s="2" t="s">
        <v>1153</v>
      </c>
      <c r="BM308" s="7"/>
      <c r="BN308" s="7"/>
      <c r="BO308" s="4"/>
      <c r="BP308" s="8"/>
      <c r="BQ308" s="4"/>
      <c r="BR308" s="8"/>
      <c r="BS308" s="7"/>
      <c r="BT308" s="7"/>
      <c r="BU308" s="2" t="s">
        <v>211</v>
      </c>
      <c r="BV308" s="2" t="s">
        <v>95</v>
      </c>
      <c r="BW308" s="2" t="s">
        <v>1154</v>
      </c>
      <c r="BX308" s="2" t="s">
        <v>1089</v>
      </c>
      <c r="BY308" s="2" t="s">
        <v>111</v>
      </c>
    </row>
    <row r="309">
      <c r="A309" s="2" t="s">
        <v>1155</v>
      </c>
      <c r="B309" s="2" t="s">
        <v>86</v>
      </c>
      <c r="C309" s="2" t="s">
        <v>87</v>
      </c>
      <c r="D309" s="2" t="s">
        <v>88</v>
      </c>
      <c r="E309" s="2" t="s">
        <v>837</v>
      </c>
      <c r="F309" s="2" t="s">
        <v>1094</v>
      </c>
      <c r="G309" s="2" t="s">
        <v>1095</v>
      </c>
      <c r="H309" s="2" t="s">
        <v>1096</v>
      </c>
      <c r="I309" s="2" t="s">
        <v>1097</v>
      </c>
      <c r="J309" s="2" t="s">
        <v>854</v>
      </c>
      <c r="K309" s="2" t="s">
        <v>997</v>
      </c>
      <c r="L309" s="3">
        <v>32.2</v>
      </c>
      <c r="M309" s="3">
        <v>33.81</v>
      </c>
      <c r="N309" s="3">
        <v>69.99</v>
      </c>
      <c r="O309" s="2" t="s">
        <v>95</v>
      </c>
      <c r="P309" s="2" t="s">
        <v>150</v>
      </c>
      <c r="Q309" s="2" t="s">
        <v>97</v>
      </c>
      <c r="R309" s="2" t="s">
        <v>98</v>
      </c>
      <c r="S309" s="2" t="s">
        <v>1149</v>
      </c>
      <c r="T309" s="2" t="s">
        <v>878</v>
      </c>
      <c r="U309" s="2" t="s">
        <v>100</v>
      </c>
      <c r="V309" s="2" t="s">
        <v>101</v>
      </c>
      <c r="W309" s="2" t="s">
        <v>335</v>
      </c>
      <c r="X309" s="2" t="s">
        <v>98</v>
      </c>
      <c r="Y309" s="2" t="s">
        <v>1099</v>
      </c>
      <c r="Z309" s="4">
        <v>51</v>
      </c>
      <c r="AA309" s="4">
        <f>=ROUNDDOWN(12.75,0)</f>
      </c>
      <c r="AB309" s="5">
        <v>4</v>
      </c>
      <c r="AC309" s="2" t="s">
        <v>309</v>
      </c>
      <c r="AD309" s="4">
        <v>42</v>
      </c>
      <c r="AE309" s="4">
        <v>174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42</v>
      </c>
      <c r="BK309" s="8">
        <v>1547.24</v>
      </c>
      <c r="BL309" s="2" t="s">
        <v>1156</v>
      </c>
      <c r="BM309" s="7"/>
      <c r="BN309" s="7"/>
      <c r="BO309" s="4"/>
      <c r="BP309" s="8"/>
      <c r="BQ309" s="4"/>
      <c r="BR309" s="8"/>
      <c r="BS309" s="7"/>
      <c r="BT309" s="7"/>
      <c r="BU309" s="2" t="s">
        <v>211</v>
      </c>
      <c r="BV309" s="2" t="s">
        <v>95</v>
      </c>
      <c r="BW309" s="2" t="s">
        <v>1157</v>
      </c>
      <c r="BX309" s="2" t="s">
        <v>909</v>
      </c>
      <c r="BY309" s="2" t="s">
        <v>111</v>
      </c>
    </row>
    <row r="310">
      <c r="A310" s="2" t="s">
        <v>1158</v>
      </c>
      <c r="B310" s="2" t="s">
        <v>86</v>
      </c>
      <c r="C310" s="2" t="s">
        <v>87</v>
      </c>
      <c r="D310" s="2" t="s">
        <v>88</v>
      </c>
      <c r="E310" s="2" t="s">
        <v>837</v>
      </c>
      <c r="F310" s="2" t="s">
        <v>1094</v>
      </c>
      <c r="G310" s="2" t="s">
        <v>1095</v>
      </c>
      <c r="H310" s="2" t="s">
        <v>1096</v>
      </c>
      <c r="I310" s="2" t="s">
        <v>1097</v>
      </c>
      <c r="J310" s="2" t="s">
        <v>858</v>
      </c>
      <c r="K310" s="2" t="s">
        <v>997</v>
      </c>
      <c r="L310" s="3">
        <v>34.5</v>
      </c>
      <c r="M310" s="3">
        <v>36.23</v>
      </c>
      <c r="N310" s="3">
        <v>74.99</v>
      </c>
      <c r="O310" s="2" t="s">
        <v>95</v>
      </c>
      <c r="P310" s="2" t="s">
        <v>150</v>
      </c>
      <c r="Q310" s="2" t="s">
        <v>97</v>
      </c>
      <c r="R310" s="2" t="s">
        <v>98</v>
      </c>
      <c r="S310" s="2" t="s">
        <v>1149</v>
      </c>
      <c r="T310" s="2" t="s">
        <v>878</v>
      </c>
      <c r="U310" s="2" t="s">
        <v>100</v>
      </c>
      <c r="V310" s="2" t="s">
        <v>101</v>
      </c>
      <c r="W310" s="2" t="s">
        <v>335</v>
      </c>
      <c r="X310" s="2" t="s">
        <v>98</v>
      </c>
      <c r="Y310" s="2" t="s">
        <v>1099</v>
      </c>
      <c r="Z310" s="4">
        <v>56</v>
      </c>
      <c r="AA310" s="4">
        <f>=ROUNDDOWN(9.33333333333333,0)</f>
      </c>
      <c r="AB310" s="5">
        <v>6</v>
      </c>
      <c r="AC310" s="2" t="s">
        <v>309</v>
      </c>
      <c r="AD310" s="4">
        <v>60</v>
      </c>
      <c r="AE310" s="4">
        <v>162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64</v>
      </c>
      <c r="BK310" s="8">
        <v>2513.53</v>
      </c>
      <c r="BL310" s="2" t="s">
        <v>1159</v>
      </c>
      <c r="BM310" s="7"/>
      <c r="BN310" s="7"/>
      <c r="BO310" s="4"/>
      <c r="BP310" s="8"/>
      <c r="BQ310" s="4"/>
      <c r="BR310" s="8"/>
      <c r="BS310" s="7"/>
      <c r="BT310" s="7"/>
      <c r="BU310" s="2" t="s">
        <v>211</v>
      </c>
      <c r="BV310" s="2" t="s">
        <v>95</v>
      </c>
      <c r="BW310" s="2" t="s">
        <v>546</v>
      </c>
      <c r="BX310" s="2" t="s">
        <v>1160</v>
      </c>
      <c r="BY310" s="2" t="s">
        <v>111</v>
      </c>
    </row>
    <row r="311">
      <c r="A311" s="2" t="s">
        <v>1161</v>
      </c>
      <c r="B311" s="2" t="s">
        <v>86</v>
      </c>
      <c r="C311" s="2" t="s">
        <v>87</v>
      </c>
      <c r="D311" s="2" t="s">
        <v>88</v>
      </c>
      <c r="E311" s="2" t="s">
        <v>837</v>
      </c>
      <c r="F311" s="2" t="s">
        <v>1094</v>
      </c>
      <c r="G311" s="2" t="s">
        <v>1095</v>
      </c>
      <c r="H311" s="2" t="s">
        <v>1096</v>
      </c>
      <c r="I311" s="2" t="s">
        <v>1097</v>
      </c>
      <c r="J311" s="2" t="s">
        <v>903</v>
      </c>
      <c r="K311" s="2" t="s">
        <v>997</v>
      </c>
      <c r="L311" s="3">
        <v>38.4</v>
      </c>
      <c r="M311" s="3">
        <v>40.32</v>
      </c>
      <c r="N311" s="3">
        <v>79.99</v>
      </c>
      <c r="O311" s="2" t="s">
        <v>95</v>
      </c>
      <c r="P311" s="2" t="s">
        <v>150</v>
      </c>
      <c r="Q311" s="2" t="s">
        <v>97</v>
      </c>
      <c r="R311" s="2" t="s">
        <v>98</v>
      </c>
      <c r="S311" s="2" t="s">
        <v>1149</v>
      </c>
      <c r="T311" s="2" t="s">
        <v>878</v>
      </c>
      <c r="U311" s="2" t="s">
        <v>100</v>
      </c>
      <c r="V311" s="2" t="s">
        <v>101</v>
      </c>
      <c r="W311" s="2" t="s">
        <v>335</v>
      </c>
      <c r="X311" s="2" t="s">
        <v>98</v>
      </c>
      <c r="Y311" s="2" t="s">
        <v>1099</v>
      </c>
      <c r="Z311" s="4">
        <v>57</v>
      </c>
      <c r="AA311" s="4">
        <f>=ROUNDDOWN(33.5294117647059,0)</f>
      </c>
      <c r="AB311" s="5">
        <v>1.7</v>
      </c>
      <c r="AC311" s="2" t="s">
        <v>309</v>
      </c>
      <c r="AD311" s="4">
        <v>42</v>
      </c>
      <c r="AE311" s="4">
        <v>42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56</v>
      </c>
      <c r="BK311" s="8">
        <v>2438.05</v>
      </c>
      <c r="BL311" s="2" t="s">
        <v>1162</v>
      </c>
      <c r="BM311" s="7"/>
      <c r="BN311" s="7"/>
      <c r="BO311" s="4"/>
      <c r="BP311" s="8"/>
      <c r="BQ311" s="4"/>
      <c r="BR311" s="8"/>
      <c r="BS311" s="7"/>
      <c r="BT311" s="7"/>
      <c r="BU311" s="2" t="s">
        <v>211</v>
      </c>
      <c r="BV311" s="2" t="s">
        <v>95</v>
      </c>
      <c r="BW311" s="2" t="s">
        <v>546</v>
      </c>
      <c r="BX311" s="2" t="s">
        <v>985</v>
      </c>
      <c r="BY311" s="2" t="s">
        <v>111</v>
      </c>
    </row>
    <row r="312">
      <c r="A312" s="2" t="s">
        <v>1163</v>
      </c>
      <c r="B312" s="2" t="s">
        <v>86</v>
      </c>
      <c r="C312" s="2" t="s">
        <v>87</v>
      </c>
      <c r="D312" s="2" t="s">
        <v>88</v>
      </c>
      <c r="E312" s="2" t="s">
        <v>837</v>
      </c>
      <c r="F312" s="2" t="s">
        <v>1164</v>
      </c>
      <c r="G312" s="2" t="s">
        <v>1165</v>
      </c>
      <c r="H312" s="2" t="s">
        <v>1166</v>
      </c>
      <c r="I312" s="2" t="s">
        <v>1167</v>
      </c>
      <c r="J312" s="2" t="s">
        <v>842</v>
      </c>
      <c r="K312" s="2" t="s">
        <v>458</v>
      </c>
      <c r="L312" s="3">
        <v>31.05</v>
      </c>
      <c r="M312" s="3">
        <v>32.6</v>
      </c>
      <c r="N312" s="3">
        <v>66.99</v>
      </c>
      <c r="O312" s="2" t="s">
        <v>95</v>
      </c>
      <c r="P312" s="2" t="s">
        <v>215</v>
      </c>
      <c r="Q312" s="2" t="s">
        <v>97</v>
      </c>
      <c r="R312" s="2" t="s">
        <v>98</v>
      </c>
      <c r="S312" s="2" t="s">
        <v>1168</v>
      </c>
      <c r="T312" s="2" t="s">
        <v>878</v>
      </c>
      <c r="U312" s="2" t="s">
        <v>100</v>
      </c>
      <c r="V312" s="2" t="s">
        <v>101</v>
      </c>
      <c r="W312" s="2" t="s">
        <v>567</v>
      </c>
      <c r="X312" s="2" t="s">
        <v>98</v>
      </c>
      <c r="Y312" s="2" t="s">
        <v>1169</v>
      </c>
      <c r="Z312" s="4">
        <v>544</v>
      </c>
      <c r="AA312" s="4">
        <f>=ROUNDDOWN(544,0)</f>
      </c>
      <c r="AB312" s="5">
        <v>1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5</v>
      </c>
      <c r="BK312" s="8">
        <v>155.5</v>
      </c>
      <c r="BL312" s="2" t="s">
        <v>1170</v>
      </c>
      <c r="BM312" s="7"/>
      <c r="BN312" s="7"/>
      <c r="BO312" s="4"/>
      <c r="BP312" s="8"/>
      <c r="BQ312" s="4"/>
      <c r="BR312" s="8"/>
      <c r="BS312" s="7"/>
      <c r="BT312" s="7"/>
      <c r="BU312" s="2" t="s">
        <v>211</v>
      </c>
      <c r="BV312" s="2" t="s">
        <v>95</v>
      </c>
      <c r="BW312" s="2" t="s">
        <v>911</v>
      </c>
      <c r="BX312" s="2" t="s">
        <v>98</v>
      </c>
      <c r="BY312" s="2" t="s">
        <v>111</v>
      </c>
    </row>
    <row r="313">
      <c r="A313" s="2" t="s">
        <v>1171</v>
      </c>
      <c r="B313" s="2" t="s">
        <v>86</v>
      </c>
      <c r="C313" s="2" t="s">
        <v>87</v>
      </c>
      <c r="D313" s="2" t="s">
        <v>88</v>
      </c>
      <c r="E313" s="2" t="s">
        <v>837</v>
      </c>
      <c r="F313" s="2" t="s">
        <v>1164</v>
      </c>
      <c r="G313" s="2" t="s">
        <v>1165</v>
      </c>
      <c r="H313" s="2" t="s">
        <v>1166</v>
      </c>
      <c r="I313" s="2" t="s">
        <v>1167</v>
      </c>
      <c r="J313" s="2" t="s">
        <v>848</v>
      </c>
      <c r="K313" s="2" t="s">
        <v>458</v>
      </c>
      <c r="L313" s="3">
        <v>32.75</v>
      </c>
      <c r="M313" s="3">
        <v>34.39</v>
      </c>
      <c r="N313" s="3">
        <v>69.99</v>
      </c>
      <c r="O313" s="2" t="s">
        <v>95</v>
      </c>
      <c r="P313" s="2" t="s">
        <v>215</v>
      </c>
      <c r="Q313" s="2" t="s">
        <v>97</v>
      </c>
      <c r="R313" s="2" t="s">
        <v>98</v>
      </c>
      <c r="S313" s="2" t="s">
        <v>1168</v>
      </c>
      <c r="T313" s="2" t="s">
        <v>878</v>
      </c>
      <c r="U313" s="2" t="s">
        <v>100</v>
      </c>
      <c r="V313" s="2" t="s">
        <v>101</v>
      </c>
      <c r="W313" s="2" t="s">
        <v>567</v>
      </c>
      <c r="X313" s="2" t="s">
        <v>98</v>
      </c>
      <c r="Y313" s="2" t="s">
        <v>1169</v>
      </c>
      <c r="Z313" s="4">
        <v>541</v>
      </c>
      <c r="AA313" s="4">
        <f>=ROUNDDOWN(541,0)</f>
      </c>
      <c r="AB313" s="5">
        <v>1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>
        <v>8</v>
      </c>
      <c r="BK313" s="8">
        <v>290.07</v>
      </c>
      <c r="BL313" s="2" t="s">
        <v>919</v>
      </c>
      <c r="BM313" s="7"/>
      <c r="BN313" s="7"/>
      <c r="BO313" s="4"/>
      <c r="BP313" s="8"/>
      <c r="BQ313" s="4"/>
      <c r="BR313" s="8"/>
      <c r="BS313" s="7"/>
      <c r="BT313" s="7"/>
      <c r="BU313" s="2" t="s">
        <v>211</v>
      </c>
      <c r="BV313" s="2" t="s">
        <v>95</v>
      </c>
      <c r="BW313" s="2" t="s">
        <v>911</v>
      </c>
      <c r="BX313" s="2" t="s">
        <v>1172</v>
      </c>
      <c r="BY313" s="2" t="s">
        <v>111</v>
      </c>
    </row>
    <row r="314">
      <c r="A314" s="2" t="s">
        <v>1173</v>
      </c>
      <c r="B314" s="2" t="s">
        <v>86</v>
      </c>
      <c r="C314" s="2" t="s">
        <v>87</v>
      </c>
      <c r="D314" s="2" t="s">
        <v>88</v>
      </c>
      <c r="E314" s="2" t="s">
        <v>837</v>
      </c>
      <c r="F314" s="2" t="s">
        <v>1164</v>
      </c>
      <c r="G314" s="2" t="s">
        <v>1165</v>
      </c>
      <c r="H314" s="2" t="s">
        <v>1166</v>
      </c>
      <c r="I314" s="2" t="s">
        <v>1167</v>
      </c>
      <c r="J314" s="2" t="s">
        <v>851</v>
      </c>
      <c r="K314" s="2" t="s">
        <v>458</v>
      </c>
      <c r="L314" s="3">
        <v>33.65</v>
      </c>
      <c r="M314" s="3">
        <v>35.33</v>
      </c>
      <c r="N314" s="3">
        <v>71.99</v>
      </c>
      <c r="O314" s="2" t="s">
        <v>95</v>
      </c>
      <c r="P314" s="2" t="s">
        <v>215</v>
      </c>
      <c r="Q314" s="2" t="s">
        <v>97</v>
      </c>
      <c r="R314" s="2" t="s">
        <v>98</v>
      </c>
      <c r="S314" s="2" t="s">
        <v>1168</v>
      </c>
      <c r="T314" s="2" t="s">
        <v>878</v>
      </c>
      <c r="U314" s="2" t="s">
        <v>100</v>
      </c>
      <c r="V314" s="2" t="s">
        <v>101</v>
      </c>
      <c r="W314" s="2" t="s">
        <v>567</v>
      </c>
      <c r="X314" s="2" t="s">
        <v>98</v>
      </c>
      <c r="Y314" s="2" t="s">
        <v>1169</v>
      </c>
      <c r="Z314" s="4">
        <v>487</v>
      </c>
      <c r="AA314" s="4">
        <f>=ROUNDDOWN(608.75,0)</f>
      </c>
      <c r="AB314" s="5">
        <v>0.8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9</v>
      </c>
      <c r="BK314" s="8">
        <v>338.67</v>
      </c>
      <c r="BL314" s="2" t="s">
        <v>915</v>
      </c>
      <c r="BM314" s="7"/>
      <c r="BN314" s="7"/>
      <c r="BO314" s="4"/>
      <c r="BP314" s="8"/>
      <c r="BQ314" s="4"/>
      <c r="BR314" s="8"/>
      <c r="BS314" s="7"/>
      <c r="BT314" s="7"/>
      <c r="BU314" s="2" t="s">
        <v>211</v>
      </c>
      <c r="BV314" s="2" t="s">
        <v>95</v>
      </c>
      <c r="BW314" s="2" t="s">
        <v>911</v>
      </c>
      <c r="BX314" s="2" t="s">
        <v>1174</v>
      </c>
      <c r="BY314" s="2" t="s">
        <v>111</v>
      </c>
    </row>
    <row r="315">
      <c r="A315" s="2" t="s">
        <v>1175</v>
      </c>
      <c r="B315" s="2" t="s">
        <v>86</v>
      </c>
      <c r="C315" s="2" t="s">
        <v>87</v>
      </c>
      <c r="D315" s="2" t="s">
        <v>88</v>
      </c>
      <c r="E315" s="2" t="s">
        <v>837</v>
      </c>
      <c r="F315" s="2" t="s">
        <v>1164</v>
      </c>
      <c r="G315" s="2" t="s">
        <v>1165</v>
      </c>
      <c r="H315" s="2" t="s">
        <v>1166</v>
      </c>
      <c r="I315" s="2" t="s">
        <v>1167</v>
      </c>
      <c r="J315" s="2" t="s">
        <v>896</v>
      </c>
      <c r="K315" s="2" t="s">
        <v>458</v>
      </c>
      <c r="L315" s="3">
        <v>38.5</v>
      </c>
      <c r="M315" s="3">
        <v>40.43</v>
      </c>
      <c r="N315" s="3">
        <v>81.99</v>
      </c>
      <c r="O315" s="2" t="s">
        <v>95</v>
      </c>
      <c r="P315" s="2" t="s">
        <v>215</v>
      </c>
      <c r="Q315" s="2" t="s">
        <v>97</v>
      </c>
      <c r="R315" s="2" t="s">
        <v>98</v>
      </c>
      <c r="S315" s="2" t="s">
        <v>1168</v>
      </c>
      <c r="T315" s="2" t="s">
        <v>878</v>
      </c>
      <c r="U315" s="2" t="s">
        <v>100</v>
      </c>
      <c r="V315" s="2" t="s">
        <v>101</v>
      </c>
      <c r="W315" s="2" t="s">
        <v>567</v>
      </c>
      <c r="X315" s="2" t="s">
        <v>98</v>
      </c>
      <c r="Y315" s="2" t="s">
        <v>1169</v>
      </c>
      <c r="Z315" s="4">
        <v>566</v>
      </c>
      <c r="AA315" s="4">
        <f>=ROUNDDOWN(566,0)</f>
      </c>
      <c r="AB315" s="5">
        <v>1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>
        <v>5</v>
      </c>
      <c r="BK315" s="8">
        <v>222.57</v>
      </c>
      <c r="BL315" s="2" t="s">
        <v>1176</v>
      </c>
      <c r="BM315" s="7"/>
      <c r="BN315" s="7"/>
      <c r="BO315" s="4"/>
      <c r="BP315" s="8"/>
      <c r="BQ315" s="4"/>
      <c r="BR315" s="8"/>
      <c r="BS315" s="7"/>
      <c r="BT315" s="7"/>
      <c r="BU315" s="2" t="s">
        <v>211</v>
      </c>
      <c r="BV315" s="2" t="s">
        <v>95</v>
      </c>
      <c r="BW315" s="2" t="s">
        <v>911</v>
      </c>
      <c r="BX315" s="2" t="s">
        <v>98</v>
      </c>
      <c r="BY315" s="2" t="s">
        <v>111</v>
      </c>
    </row>
    <row r="316">
      <c r="A316" s="2" t="s">
        <v>1177</v>
      </c>
      <c r="B316" s="2" t="s">
        <v>86</v>
      </c>
      <c r="C316" s="2" t="s">
        <v>87</v>
      </c>
      <c r="D316" s="2" t="s">
        <v>88</v>
      </c>
      <c r="E316" s="2" t="s">
        <v>837</v>
      </c>
      <c r="F316" s="2" t="s">
        <v>1164</v>
      </c>
      <c r="G316" s="2" t="s">
        <v>1165</v>
      </c>
      <c r="H316" s="2" t="s">
        <v>1166</v>
      </c>
      <c r="I316" s="2" t="s">
        <v>1167</v>
      </c>
      <c r="J316" s="2" t="s">
        <v>858</v>
      </c>
      <c r="K316" s="2" t="s">
        <v>458</v>
      </c>
      <c r="L316" s="3">
        <v>39.65</v>
      </c>
      <c r="M316" s="3">
        <v>41.63</v>
      </c>
      <c r="N316" s="3">
        <v>83.99</v>
      </c>
      <c r="O316" s="2" t="s">
        <v>95</v>
      </c>
      <c r="P316" s="2" t="s">
        <v>215</v>
      </c>
      <c r="Q316" s="2" t="s">
        <v>97</v>
      </c>
      <c r="R316" s="2" t="s">
        <v>98</v>
      </c>
      <c r="S316" s="2" t="s">
        <v>1168</v>
      </c>
      <c r="T316" s="2" t="s">
        <v>878</v>
      </c>
      <c r="U316" s="2" t="s">
        <v>100</v>
      </c>
      <c r="V316" s="2" t="s">
        <v>101</v>
      </c>
      <c r="W316" s="2" t="s">
        <v>567</v>
      </c>
      <c r="X316" s="2" t="s">
        <v>98</v>
      </c>
      <c r="Y316" s="2" t="s">
        <v>1169</v>
      </c>
      <c r="Z316" s="4">
        <v>436</v>
      </c>
      <c r="AA316" s="4">
        <f>=ROUNDDOWN(545,0)</f>
      </c>
      <c r="AB316" s="5">
        <v>0.8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11</v>
      </c>
      <c r="BK316" s="8">
        <v>480.81</v>
      </c>
      <c r="BL316" s="2" t="s">
        <v>1178</v>
      </c>
      <c r="BM316" s="7"/>
      <c r="BN316" s="7"/>
      <c r="BO316" s="4"/>
      <c r="BP316" s="8"/>
      <c r="BQ316" s="4"/>
      <c r="BR316" s="8"/>
      <c r="BS316" s="7"/>
      <c r="BT316" s="7"/>
      <c r="BU316" s="2" t="s">
        <v>211</v>
      </c>
      <c r="BV316" s="2" t="s">
        <v>95</v>
      </c>
      <c r="BW316" s="2" t="s">
        <v>911</v>
      </c>
      <c r="BX316" s="2" t="s">
        <v>1179</v>
      </c>
      <c r="BY316" s="2" t="s">
        <v>111</v>
      </c>
    </row>
    <row r="317">
      <c r="A317" s="2" t="s">
        <v>1180</v>
      </c>
      <c r="B317" s="2" t="s">
        <v>86</v>
      </c>
      <c r="C317" s="2" t="s">
        <v>87</v>
      </c>
      <c r="D317" s="2" t="s">
        <v>88</v>
      </c>
      <c r="E317" s="2" t="s">
        <v>837</v>
      </c>
      <c r="F317" s="2" t="s">
        <v>1164</v>
      </c>
      <c r="G317" s="2" t="s">
        <v>1165</v>
      </c>
      <c r="H317" s="2" t="s">
        <v>1166</v>
      </c>
      <c r="I317" s="2" t="s">
        <v>1167</v>
      </c>
      <c r="J317" s="2" t="s">
        <v>842</v>
      </c>
      <c r="K317" s="2" t="s">
        <v>557</v>
      </c>
      <c r="L317" s="3">
        <v>31.05</v>
      </c>
      <c r="M317" s="3">
        <v>32.6</v>
      </c>
      <c r="N317" s="3">
        <v>66.99</v>
      </c>
      <c r="O317" s="2" t="s">
        <v>95</v>
      </c>
      <c r="P317" s="2" t="s">
        <v>220</v>
      </c>
      <c r="Q317" s="2" t="s">
        <v>97</v>
      </c>
      <c r="R317" s="2" t="s">
        <v>98</v>
      </c>
      <c r="S317" s="2" t="s">
        <v>1181</v>
      </c>
      <c r="T317" s="2" t="s">
        <v>878</v>
      </c>
      <c r="U317" s="2" t="s">
        <v>100</v>
      </c>
      <c r="V317" s="2" t="s">
        <v>101</v>
      </c>
      <c r="W317" s="2" t="s">
        <v>567</v>
      </c>
      <c r="X317" s="2" t="s">
        <v>98</v>
      </c>
      <c r="Y317" s="2" t="s">
        <v>1169</v>
      </c>
      <c r="Z317" s="4">
        <v>239</v>
      </c>
      <c r="AA317" s="4">
        <f>=ROUNDDOWN(59.75,0)</f>
      </c>
      <c r="AB317" s="5">
        <v>4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>
        <v>68</v>
      </c>
      <c r="BK317" s="8">
        <v>2355.36</v>
      </c>
      <c r="BL317" s="2" t="s">
        <v>1182</v>
      </c>
      <c r="BM317" s="7"/>
      <c r="BN317" s="7"/>
      <c r="BO317" s="4"/>
      <c r="BP317" s="8"/>
      <c r="BQ317" s="4"/>
      <c r="BR317" s="8"/>
      <c r="BS317" s="7"/>
      <c r="BT317" s="7"/>
      <c r="BU317" s="2" t="s">
        <v>211</v>
      </c>
      <c r="BV317" s="2" t="s">
        <v>95</v>
      </c>
      <c r="BW317" s="2" t="s">
        <v>911</v>
      </c>
      <c r="BX317" s="2" t="s">
        <v>1183</v>
      </c>
      <c r="BY317" s="2" t="s">
        <v>111</v>
      </c>
    </row>
    <row r="318">
      <c r="A318" s="2" t="s">
        <v>1184</v>
      </c>
      <c r="B318" s="2" t="s">
        <v>86</v>
      </c>
      <c r="C318" s="2" t="s">
        <v>87</v>
      </c>
      <c r="D318" s="2" t="s">
        <v>88</v>
      </c>
      <c r="E318" s="2" t="s">
        <v>837</v>
      </c>
      <c r="F318" s="2" t="s">
        <v>1164</v>
      </c>
      <c r="G318" s="2" t="s">
        <v>1165</v>
      </c>
      <c r="H318" s="2" t="s">
        <v>1166</v>
      </c>
      <c r="I318" s="2" t="s">
        <v>1167</v>
      </c>
      <c r="J318" s="2" t="s">
        <v>848</v>
      </c>
      <c r="K318" s="2" t="s">
        <v>557</v>
      </c>
      <c r="L318" s="3">
        <v>32.75</v>
      </c>
      <c r="M318" s="3">
        <v>34.39</v>
      </c>
      <c r="N318" s="3">
        <v>69.99</v>
      </c>
      <c r="O318" s="2" t="s">
        <v>95</v>
      </c>
      <c r="P318" s="2" t="s">
        <v>220</v>
      </c>
      <c r="Q318" s="2" t="s">
        <v>97</v>
      </c>
      <c r="R318" s="2" t="s">
        <v>98</v>
      </c>
      <c r="S318" s="2" t="s">
        <v>1181</v>
      </c>
      <c r="T318" s="2" t="s">
        <v>878</v>
      </c>
      <c r="U318" s="2" t="s">
        <v>100</v>
      </c>
      <c r="V318" s="2" t="s">
        <v>101</v>
      </c>
      <c r="W318" s="2" t="s">
        <v>567</v>
      </c>
      <c r="X318" s="2" t="s">
        <v>98</v>
      </c>
      <c r="Y318" s="2" t="s">
        <v>1169</v>
      </c>
      <c r="Z318" s="4">
        <v>157</v>
      </c>
      <c r="AA318" s="4">
        <f>=ROUNDDOWN(23.7878787878788,0)</f>
      </c>
      <c r="AB318" s="5">
        <v>6.6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65</v>
      </c>
      <c r="BK318" s="8">
        <v>2417.82</v>
      </c>
      <c r="BL318" s="2" t="s">
        <v>919</v>
      </c>
      <c r="BM318" s="7"/>
      <c r="BN318" s="7"/>
      <c r="BO318" s="4"/>
      <c r="BP318" s="8"/>
      <c r="BQ318" s="4"/>
      <c r="BR318" s="8"/>
      <c r="BS318" s="7"/>
      <c r="BT318" s="7"/>
      <c r="BU318" s="2" t="s">
        <v>211</v>
      </c>
      <c r="BV318" s="2" t="s">
        <v>95</v>
      </c>
      <c r="BW318" s="2" t="s">
        <v>911</v>
      </c>
      <c r="BX318" s="2" t="s">
        <v>1127</v>
      </c>
      <c r="BY318" s="2" t="s">
        <v>111</v>
      </c>
    </row>
    <row r="319">
      <c r="A319" s="2" t="s">
        <v>1185</v>
      </c>
      <c r="B319" s="2" t="s">
        <v>86</v>
      </c>
      <c r="C319" s="2" t="s">
        <v>87</v>
      </c>
      <c r="D319" s="2" t="s">
        <v>88</v>
      </c>
      <c r="E319" s="2" t="s">
        <v>837</v>
      </c>
      <c r="F319" s="2" t="s">
        <v>1164</v>
      </c>
      <c r="G319" s="2" t="s">
        <v>1165</v>
      </c>
      <c r="H319" s="2" t="s">
        <v>1166</v>
      </c>
      <c r="I319" s="2" t="s">
        <v>1167</v>
      </c>
      <c r="J319" s="2" t="s">
        <v>851</v>
      </c>
      <c r="K319" s="2" t="s">
        <v>557</v>
      </c>
      <c r="L319" s="3">
        <v>33.65</v>
      </c>
      <c r="M319" s="3">
        <v>35.33</v>
      </c>
      <c r="N319" s="3">
        <v>71.99</v>
      </c>
      <c r="O319" s="2" t="s">
        <v>95</v>
      </c>
      <c r="P319" s="2" t="s">
        <v>220</v>
      </c>
      <c r="Q319" s="2" t="s">
        <v>97</v>
      </c>
      <c r="R319" s="2" t="s">
        <v>98</v>
      </c>
      <c r="S319" s="2" t="s">
        <v>1181</v>
      </c>
      <c r="T319" s="2" t="s">
        <v>878</v>
      </c>
      <c r="U319" s="2" t="s">
        <v>100</v>
      </c>
      <c r="V319" s="2" t="s">
        <v>101</v>
      </c>
      <c r="W319" s="2" t="s">
        <v>567</v>
      </c>
      <c r="X319" s="2" t="s">
        <v>98</v>
      </c>
      <c r="Y319" s="2" t="s">
        <v>1169</v>
      </c>
      <c r="Z319" s="4">
        <v>94</v>
      </c>
      <c r="AA319" s="4">
        <f>=ROUNDDOWN(23.5,0)</f>
      </c>
      <c r="AB319" s="5">
        <v>4</v>
      </c>
      <c r="AC319" s="2" t="s">
        <v>144</v>
      </c>
      <c r="AD319" s="4">
        <v>294</v>
      </c>
      <c r="AE319" s="4">
        <v>294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50</v>
      </c>
      <c r="BK319" s="8">
        <v>1734.26</v>
      </c>
      <c r="BL319" s="2" t="s">
        <v>919</v>
      </c>
      <c r="BM319" s="7"/>
      <c r="BN319" s="7"/>
      <c r="BO319" s="4"/>
      <c r="BP319" s="8"/>
      <c r="BQ319" s="4"/>
      <c r="BR319" s="8"/>
      <c r="BS319" s="7"/>
      <c r="BT319" s="7"/>
      <c r="BU319" s="2" t="s">
        <v>211</v>
      </c>
      <c r="BV319" s="2" t="s">
        <v>95</v>
      </c>
      <c r="BW319" s="2" t="s">
        <v>911</v>
      </c>
      <c r="BX319" s="2" t="s">
        <v>1127</v>
      </c>
      <c r="BY319" s="2" t="s">
        <v>111</v>
      </c>
    </row>
    <row r="320">
      <c r="A320" s="2" t="s">
        <v>1186</v>
      </c>
      <c r="B320" s="2" t="s">
        <v>86</v>
      </c>
      <c r="C320" s="2" t="s">
        <v>87</v>
      </c>
      <c r="D320" s="2" t="s">
        <v>88</v>
      </c>
      <c r="E320" s="2" t="s">
        <v>837</v>
      </c>
      <c r="F320" s="2" t="s">
        <v>1164</v>
      </c>
      <c r="G320" s="2" t="s">
        <v>1165</v>
      </c>
      <c r="H320" s="2" t="s">
        <v>1166</v>
      </c>
      <c r="I320" s="2" t="s">
        <v>1167</v>
      </c>
      <c r="J320" s="2" t="s">
        <v>896</v>
      </c>
      <c r="K320" s="2" t="s">
        <v>557</v>
      </c>
      <c r="L320" s="3">
        <v>38.5</v>
      </c>
      <c r="M320" s="3">
        <v>40.43</v>
      </c>
      <c r="N320" s="3">
        <v>81.99</v>
      </c>
      <c r="O320" s="2" t="s">
        <v>95</v>
      </c>
      <c r="P320" s="2" t="s">
        <v>220</v>
      </c>
      <c r="Q320" s="2" t="s">
        <v>97</v>
      </c>
      <c r="R320" s="2" t="s">
        <v>98</v>
      </c>
      <c r="S320" s="2" t="s">
        <v>1181</v>
      </c>
      <c r="T320" s="2" t="s">
        <v>878</v>
      </c>
      <c r="U320" s="2" t="s">
        <v>100</v>
      </c>
      <c r="V320" s="2" t="s">
        <v>101</v>
      </c>
      <c r="W320" s="2" t="s">
        <v>567</v>
      </c>
      <c r="X320" s="2" t="s">
        <v>98</v>
      </c>
      <c r="Y320" s="2" t="s">
        <v>1169</v>
      </c>
      <c r="Z320" s="4">
        <v>149</v>
      </c>
      <c r="AA320" s="4">
        <f>=ROUNDDOWN(18.625,0)</f>
      </c>
      <c r="AB320" s="5">
        <v>8</v>
      </c>
      <c r="AC320" s="2" t="s">
        <v>144</v>
      </c>
      <c r="AD320" s="4">
        <v>108</v>
      </c>
      <c r="AE320" s="4">
        <v>108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86</v>
      </c>
      <c r="BK320" s="8">
        <v>3651.54</v>
      </c>
      <c r="BL320" s="2" t="s">
        <v>954</v>
      </c>
      <c r="BM320" s="7"/>
      <c r="BN320" s="7"/>
      <c r="BO320" s="4"/>
      <c r="BP320" s="8"/>
      <c r="BQ320" s="4"/>
      <c r="BR320" s="8"/>
      <c r="BS320" s="7"/>
      <c r="BT320" s="7"/>
      <c r="BU320" s="2" t="s">
        <v>211</v>
      </c>
      <c r="BV320" s="2" t="s">
        <v>95</v>
      </c>
      <c r="BW320" s="2" t="s">
        <v>911</v>
      </c>
      <c r="BX320" s="2" t="s">
        <v>916</v>
      </c>
      <c r="BY320" s="2" t="s">
        <v>111</v>
      </c>
    </row>
    <row r="321">
      <c r="A321" s="2" t="s">
        <v>1187</v>
      </c>
      <c r="B321" s="2" t="s">
        <v>86</v>
      </c>
      <c r="C321" s="2" t="s">
        <v>87</v>
      </c>
      <c r="D321" s="2" t="s">
        <v>88</v>
      </c>
      <c r="E321" s="2" t="s">
        <v>837</v>
      </c>
      <c r="F321" s="2" t="s">
        <v>1164</v>
      </c>
      <c r="G321" s="2" t="s">
        <v>1165</v>
      </c>
      <c r="H321" s="2" t="s">
        <v>1166</v>
      </c>
      <c r="I321" s="2" t="s">
        <v>1167</v>
      </c>
      <c r="J321" s="2" t="s">
        <v>858</v>
      </c>
      <c r="K321" s="2" t="s">
        <v>557</v>
      </c>
      <c r="L321" s="3">
        <v>39.65</v>
      </c>
      <c r="M321" s="3">
        <v>41.63</v>
      </c>
      <c r="N321" s="3">
        <v>83.99</v>
      </c>
      <c r="O321" s="2" t="s">
        <v>95</v>
      </c>
      <c r="P321" s="2" t="s">
        <v>220</v>
      </c>
      <c r="Q321" s="2" t="s">
        <v>97</v>
      </c>
      <c r="R321" s="2" t="s">
        <v>98</v>
      </c>
      <c r="S321" s="2" t="s">
        <v>1181</v>
      </c>
      <c r="T321" s="2" t="s">
        <v>878</v>
      </c>
      <c r="U321" s="2" t="s">
        <v>100</v>
      </c>
      <c r="V321" s="2" t="s">
        <v>101</v>
      </c>
      <c r="W321" s="2" t="s">
        <v>567</v>
      </c>
      <c r="X321" s="2" t="s">
        <v>98</v>
      </c>
      <c r="Y321" s="2" t="s">
        <v>1169</v>
      </c>
      <c r="Z321" s="4"/>
      <c r="AA321" s="4">
        <f>=ROUNDDOWN({0},0)</f>
      </c>
      <c r="AB321" s="5">
        <v>5</v>
      </c>
      <c r="AC321" s="2" t="s">
        <v>144</v>
      </c>
      <c r="AD321" s="4">
        <v>222</v>
      </c>
      <c r="AE321" s="4">
        <v>222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60</v>
      </c>
      <c r="BK321" s="8">
        <v>2686.46</v>
      </c>
      <c r="BL321" s="2" t="s">
        <v>1182</v>
      </c>
      <c r="BM321" s="7"/>
      <c r="BN321" s="7"/>
      <c r="BO321" s="4"/>
      <c r="BP321" s="8"/>
      <c r="BQ321" s="4"/>
      <c r="BR321" s="8"/>
      <c r="BS321" s="7"/>
      <c r="BT321" s="7"/>
      <c r="BU321" s="2" t="s">
        <v>211</v>
      </c>
      <c r="BV321" s="2" t="s">
        <v>95</v>
      </c>
      <c r="BW321" s="2" t="s">
        <v>911</v>
      </c>
      <c r="BX321" s="2" t="s">
        <v>98</v>
      </c>
      <c r="BY321" s="2" t="s">
        <v>111</v>
      </c>
    </row>
    <row r="322">
      <c r="A322" s="2" t="s">
        <v>1188</v>
      </c>
      <c r="B322" s="2" t="s">
        <v>86</v>
      </c>
      <c r="C322" s="2" t="s">
        <v>87</v>
      </c>
      <c r="D322" s="2" t="s">
        <v>88</v>
      </c>
      <c r="E322" s="2" t="s">
        <v>837</v>
      </c>
      <c r="F322" s="2" t="s">
        <v>1164</v>
      </c>
      <c r="G322" s="2" t="s">
        <v>1165</v>
      </c>
      <c r="H322" s="2" t="s">
        <v>1166</v>
      </c>
      <c r="I322" s="2" t="s">
        <v>1167</v>
      </c>
      <c r="J322" s="2" t="s">
        <v>842</v>
      </c>
      <c r="K322" s="2" t="s">
        <v>94</v>
      </c>
      <c r="L322" s="3">
        <v>31.05</v>
      </c>
      <c r="M322" s="3">
        <v>32.6</v>
      </c>
      <c r="N322" s="3">
        <v>66.99</v>
      </c>
      <c r="O322" s="2" t="s">
        <v>95</v>
      </c>
      <c r="P322" s="2" t="s">
        <v>220</v>
      </c>
      <c r="Q322" s="2" t="s">
        <v>97</v>
      </c>
      <c r="R322" s="2" t="s">
        <v>98</v>
      </c>
      <c r="S322" s="2" t="s">
        <v>1189</v>
      </c>
      <c r="T322" s="2" t="s">
        <v>878</v>
      </c>
      <c r="U322" s="2" t="s">
        <v>100</v>
      </c>
      <c r="V322" s="2" t="s">
        <v>101</v>
      </c>
      <c r="W322" s="2" t="s">
        <v>567</v>
      </c>
      <c r="X322" s="2" t="s">
        <v>98</v>
      </c>
      <c r="Y322" s="2" t="s">
        <v>1169</v>
      </c>
      <c r="Z322" s="4">
        <v>695</v>
      </c>
      <c r="AA322" s="4">
        <f>=ROUNDDOWN(115.833333333333,0)</f>
      </c>
      <c r="AB322" s="5">
        <v>6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57</v>
      </c>
      <c r="BK322" s="8">
        <v>2002.69</v>
      </c>
      <c r="BL322" s="2" t="s">
        <v>919</v>
      </c>
      <c r="BM322" s="7"/>
      <c r="BN322" s="7"/>
      <c r="BO322" s="4"/>
      <c r="BP322" s="8"/>
      <c r="BQ322" s="4"/>
      <c r="BR322" s="8"/>
      <c r="BS322" s="7"/>
      <c r="BT322" s="7"/>
      <c r="BU322" s="2" t="s">
        <v>211</v>
      </c>
      <c r="BV322" s="2" t="s">
        <v>95</v>
      </c>
      <c r="BW322" s="2" t="s">
        <v>911</v>
      </c>
      <c r="BX322" s="2" t="s">
        <v>1190</v>
      </c>
      <c r="BY322" s="2" t="s">
        <v>111</v>
      </c>
    </row>
    <row r="323">
      <c r="A323" s="2" t="s">
        <v>1191</v>
      </c>
      <c r="B323" s="2" t="s">
        <v>86</v>
      </c>
      <c r="C323" s="2" t="s">
        <v>87</v>
      </c>
      <c r="D323" s="2" t="s">
        <v>88</v>
      </c>
      <c r="E323" s="2" t="s">
        <v>837</v>
      </c>
      <c r="F323" s="2" t="s">
        <v>1164</v>
      </c>
      <c r="G323" s="2" t="s">
        <v>1165</v>
      </c>
      <c r="H323" s="2" t="s">
        <v>1166</v>
      </c>
      <c r="I323" s="2" t="s">
        <v>1167</v>
      </c>
      <c r="J323" s="2" t="s">
        <v>848</v>
      </c>
      <c r="K323" s="2" t="s">
        <v>94</v>
      </c>
      <c r="L323" s="3">
        <v>32.75</v>
      </c>
      <c r="M323" s="3">
        <v>34.39</v>
      </c>
      <c r="N323" s="3">
        <v>69.99</v>
      </c>
      <c r="O323" s="2" t="s">
        <v>95</v>
      </c>
      <c r="P323" s="2" t="s">
        <v>220</v>
      </c>
      <c r="Q323" s="2" t="s">
        <v>97</v>
      </c>
      <c r="R323" s="2" t="s">
        <v>98</v>
      </c>
      <c r="S323" s="2" t="s">
        <v>1189</v>
      </c>
      <c r="T323" s="2" t="s">
        <v>878</v>
      </c>
      <c r="U323" s="2" t="s">
        <v>100</v>
      </c>
      <c r="V323" s="2" t="s">
        <v>101</v>
      </c>
      <c r="W323" s="2" t="s">
        <v>567</v>
      </c>
      <c r="X323" s="2" t="s">
        <v>98</v>
      </c>
      <c r="Y323" s="2" t="s">
        <v>1169</v>
      </c>
      <c r="Z323" s="4">
        <v>940</v>
      </c>
      <c r="AA323" s="4">
        <f>=ROUNDDOWN(313.333333333333,0)</f>
      </c>
      <c r="AB323" s="5">
        <v>3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44</v>
      </c>
      <c r="BK323" s="8">
        <v>1614.65</v>
      </c>
      <c r="BL323" s="2" t="s">
        <v>919</v>
      </c>
      <c r="BM323" s="7"/>
      <c r="BN323" s="7"/>
      <c r="BO323" s="4"/>
      <c r="BP323" s="8"/>
      <c r="BQ323" s="4"/>
      <c r="BR323" s="8"/>
      <c r="BS323" s="7"/>
      <c r="BT323" s="7"/>
      <c r="BU323" s="2" t="s">
        <v>211</v>
      </c>
      <c r="BV323" s="2" t="s">
        <v>95</v>
      </c>
      <c r="BW323" s="2" t="s">
        <v>911</v>
      </c>
      <c r="BX323" s="2" t="s">
        <v>1190</v>
      </c>
      <c r="BY323" s="2" t="s">
        <v>111</v>
      </c>
    </row>
    <row r="324">
      <c r="A324" s="2" t="s">
        <v>1192</v>
      </c>
      <c r="B324" s="2" t="s">
        <v>86</v>
      </c>
      <c r="C324" s="2" t="s">
        <v>87</v>
      </c>
      <c r="D324" s="2" t="s">
        <v>88</v>
      </c>
      <c r="E324" s="2" t="s">
        <v>837</v>
      </c>
      <c r="F324" s="2" t="s">
        <v>1164</v>
      </c>
      <c r="G324" s="2" t="s">
        <v>1165</v>
      </c>
      <c r="H324" s="2" t="s">
        <v>1166</v>
      </c>
      <c r="I324" s="2" t="s">
        <v>1167</v>
      </c>
      <c r="J324" s="2" t="s">
        <v>851</v>
      </c>
      <c r="K324" s="2" t="s">
        <v>94</v>
      </c>
      <c r="L324" s="3">
        <v>33.65</v>
      </c>
      <c r="M324" s="3">
        <v>35.33</v>
      </c>
      <c r="N324" s="3">
        <v>71.99</v>
      </c>
      <c r="O324" s="2" t="s">
        <v>95</v>
      </c>
      <c r="P324" s="2" t="s">
        <v>220</v>
      </c>
      <c r="Q324" s="2" t="s">
        <v>97</v>
      </c>
      <c r="R324" s="2" t="s">
        <v>98</v>
      </c>
      <c r="S324" s="2" t="s">
        <v>1189</v>
      </c>
      <c r="T324" s="2" t="s">
        <v>878</v>
      </c>
      <c r="U324" s="2" t="s">
        <v>100</v>
      </c>
      <c r="V324" s="2" t="s">
        <v>101</v>
      </c>
      <c r="W324" s="2" t="s">
        <v>567</v>
      </c>
      <c r="X324" s="2" t="s">
        <v>98</v>
      </c>
      <c r="Y324" s="2" t="s">
        <v>1169</v>
      </c>
      <c r="Z324" s="4">
        <v>496</v>
      </c>
      <c r="AA324" s="4">
        <f>=ROUNDDOWN(124,0)</f>
      </c>
      <c r="AB324" s="5">
        <v>4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60</v>
      </c>
      <c r="BK324" s="8">
        <v>2298</v>
      </c>
      <c r="BL324" s="2" t="s">
        <v>919</v>
      </c>
      <c r="BM324" s="7"/>
      <c r="BN324" s="7"/>
      <c r="BO324" s="4"/>
      <c r="BP324" s="8"/>
      <c r="BQ324" s="4"/>
      <c r="BR324" s="8"/>
      <c r="BS324" s="7"/>
      <c r="BT324" s="7"/>
      <c r="BU324" s="2" t="s">
        <v>211</v>
      </c>
      <c r="BV324" s="2" t="s">
        <v>95</v>
      </c>
      <c r="BW324" s="2" t="s">
        <v>911</v>
      </c>
      <c r="BX324" s="2" t="s">
        <v>1193</v>
      </c>
      <c r="BY324" s="2" t="s">
        <v>111</v>
      </c>
    </row>
    <row r="325">
      <c r="A325" s="2" t="s">
        <v>1194</v>
      </c>
      <c r="B325" s="2" t="s">
        <v>86</v>
      </c>
      <c r="C325" s="2" t="s">
        <v>87</v>
      </c>
      <c r="D325" s="2" t="s">
        <v>88</v>
      </c>
      <c r="E325" s="2" t="s">
        <v>837</v>
      </c>
      <c r="F325" s="2" t="s">
        <v>1164</v>
      </c>
      <c r="G325" s="2" t="s">
        <v>1165</v>
      </c>
      <c r="H325" s="2" t="s">
        <v>1166</v>
      </c>
      <c r="I325" s="2" t="s">
        <v>1167</v>
      </c>
      <c r="J325" s="2" t="s">
        <v>896</v>
      </c>
      <c r="K325" s="2" t="s">
        <v>94</v>
      </c>
      <c r="L325" s="3">
        <v>38.5</v>
      </c>
      <c r="M325" s="3">
        <v>40.43</v>
      </c>
      <c r="N325" s="3">
        <v>81.99</v>
      </c>
      <c r="O325" s="2" t="s">
        <v>95</v>
      </c>
      <c r="P325" s="2" t="s">
        <v>220</v>
      </c>
      <c r="Q325" s="2" t="s">
        <v>97</v>
      </c>
      <c r="R325" s="2" t="s">
        <v>98</v>
      </c>
      <c r="S325" s="2" t="s">
        <v>1189</v>
      </c>
      <c r="T325" s="2" t="s">
        <v>878</v>
      </c>
      <c r="U325" s="2" t="s">
        <v>100</v>
      </c>
      <c r="V325" s="2" t="s">
        <v>101</v>
      </c>
      <c r="W325" s="2" t="s">
        <v>567</v>
      </c>
      <c r="X325" s="2" t="s">
        <v>98</v>
      </c>
      <c r="Y325" s="2" t="s">
        <v>1169</v>
      </c>
      <c r="Z325" s="4">
        <v>885</v>
      </c>
      <c r="AA325" s="4">
        <f>=ROUNDDOWN(221.25,0)</f>
      </c>
      <c r="AB325" s="5">
        <v>4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46</v>
      </c>
      <c r="BK325" s="8">
        <v>1962.39</v>
      </c>
      <c r="BL325" s="2" t="s">
        <v>919</v>
      </c>
      <c r="BM325" s="7"/>
      <c r="BN325" s="7"/>
      <c r="BO325" s="4"/>
      <c r="BP325" s="8"/>
      <c r="BQ325" s="4"/>
      <c r="BR325" s="8"/>
      <c r="BS325" s="7"/>
      <c r="BT325" s="7"/>
      <c r="BU325" s="2" t="s">
        <v>211</v>
      </c>
      <c r="BV325" s="2" t="s">
        <v>95</v>
      </c>
      <c r="BW325" s="2" t="s">
        <v>911</v>
      </c>
      <c r="BX325" s="2" t="s">
        <v>1195</v>
      </c>
      <c r="BY325" s="2" t="s">
        <v>111</v>
      </c>
    </row>
    <row r="326">
      <c r="A326" s="2" t="s">
        <v>1196</v>
      </c>
      <c r="B326" s="2" t="s">
        <v>86</v>
      </c>
      <c r="C326" s="2" t="s">
        <v>87</v>
      </c>
      <c r="D326" s="2" t="s">
        <v>88</v>
      </c>
      <c r="E326" s="2" t="s">
        <v>837</v>
      </c>
      <c r="F326" s="2" t="s">
        <v>1164</v>
      </c>
      <c r="G326" s="2" t="s">
        <v>1165</v>
      </c>
      <c r="H326" s="2" t="s">
        <v>1166</v>
      </c>
      <c r="I326" s="2" t="s">
        <v>1167</v>
      </c>
      <c r="J326" s="2" t="s">
        <v>858</v>
      </c>
      <c r="K326" s="2" t="s">
        <v>94</v>
      </c>
      <c r="L326" s="3">
        <v>39.65</v>
      </c>
      <c r="M326" s="3">
        <v>41.63</v>
      </c>
      <c r="N326" s="3">
        <v>83.99</v>
      </c>
      <c r="O326" s="2" t="s">
        <v>95</v>
      </c>
      <c r="P326" s="2" t="s">
        <v>220</v>
      </c>
      <c r="Q326" s="2" t="s">
        <v>97</v>
      </c>
      <c r="R326" s="2" t="s">
        <v>98</v>
      </c>
      <c r="S326" s="2" t="s">
        <v>1189</v>
      </c>
      <c r="T326" s="2" t="s">
        <v>878</v>
      </c>
      <c r="U326" s="2" t="s">
        <v>100</v>
      </c>
      <c r="V326" s="2" t="s">
        <v>101</v>
      </c>
      <c r="W326" s="2" t="s">
        <v>567</v>
      </c>
      <c r="X326" s="2" t="s">
        <v>98</v>
      </c>
      <c r="Y326" s="2" t="s">
        <v>1169</v>
      </c>
      <c r="Z326" s="4">
        <v>190</v>
      </c>
      <c r="AA326" s="4">
        <f>=ROUNDDOWN(63.3333333333333,0)</f>
      </c>
      <c r="AB326" s="5">
        <v>3</v>
      </c>
      <c r="AC326" s="2" t="s">
        <v>98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39</v>
      </c>
      <c r="BK326" s="8">
        <v>1783.35</v>
      </c>
      <c r="BL326" s="2" t="s">
        <v>954</v>
      </c>
      <c r="BM326" s="7"/>
      <c r="BN326" s="7"/>
      <c r="BO326" s="4"/>
      <c r="BP326" s="8"/>
      <c r="BQ326" s="4"/>
      <c r="BR326" s="8"/>
      <c r="BS326" s="7"/>
      <c r="BT326" s="7"/>
      <c r="BU326" s="2" t="s">
        <v>211</v>
      </c>
      <c r="BV326" s="2" t="s">
        <v>95</v>
      </c>
      <c r="BW326" s="2" t="s">
        <v>911</v>
      </c>
      <c r="BX326" s="2" t="s">
        <v>971</v>
      </c>
      <c r="BY326" s="2" t="s">
        <v>111</v>
      </c>
    </row>
    <row r="327">
      <c r="A327" s="2" t="s">
        <v>1197</v>
      </c>
      <c r="B327" s="2" t="s">
        <v>86</v>
      </c>
      <c r="C327" s="2" t="s">
        <v>87</v>
      </c>
      <c r="D327" s="2" t="s">
        <v>88</v>
      </c>
      <c r="E327" s="2" t="s">
        <v>837</v>
      </c>
      <c r="F327" s="2" t="s">
        <v>1198</v>
      </c>
      <c r="G327" s="2" t="s">
        <v>1199</v>
      </c>
      <c r="H327" s="2" t="s">
        <v>1200</v>
      </c>
      <c r="I327" s="2" t="s">
        <v>1201</v>
      </c>
      <c r="J327" s="2" t="s">
        <v>854</v>
      </c>
      <c r="K327" s="2" t="s">
        <v>458</v>
      </c>
      <c r="L327" s="3">
        <v>43.5</v>
      </c>
      <c r="M327" s="3">
        <v>45.68</v>
      </c>
      <c r="N327" s="3">
        <v>91.99</v>
      </c>
      <c r="O327" s="2" t="s">
        <v>95</v>
      </c>
      <c r="P327" s="2" t="s">
        <v>313</v>
      </c>
      <c r="Q327" s="2" t="s">
        <v>97</v>
      </c>
      <c r="R327" s="2" t="s">
        <v>98</v>
      </c>
      <c r="S327" s="2" t="s">
        <v>1202</v>
      </c>
      <c r="T327" s="2" t="s">
        <v>878</v>
      </c>
      <c r="U327" s="2" t="s">
        <v>100</v>
      </c>
      <c r="V327" s="2" t="s">
        <v>101</v>
      </c>
      <c r="W327" s="2" t="s">
        <v>567</v>
      </c>
      <c r="X327" s="2" t="s">
        <v>335</v>
      </c>
      <c r="Y327" s="2" t="s">
        <v>172</v>
      </c>
      <c r="Z327" s="4">
        <v>70</v>
      </c>
      <c r="AA327" s="4">
        <f>=ROUNDDOWN(70,0)</f>
      </c>
      <c r="AB327" s="5">
        <v>1</v>
      </c>
      <c r="AC327" s="2" t="s">
        <v>98</v>
      </c>
      <c r="AD327" s="4"/>
      <c r="AE327" s="4"/>
      <c r="AF327" s="6">
        <v>75</v>
      </c>
      <c r="AG327" s="6"/>
      <c r="AH327" s="7">
        <v>0.9828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7</v>
      </c>
      <c r="BK327" s="8">
        <v>335.72</v>
      </c>
      <c r="BL327" s="2" t="s">
        <v>1203</v>
      </c>
      <c r="BM327" s="7"/>
      <c r="BN327" s="7"/>
      <c r="BO327" s="4"/>
      <c r="BP327" s="8"/>
      <c r="BQ327" s="4"/>
      <c r="BR327" s="8"/>
      <c r="BS327" s="7"/>
      <c r="BT327" s="7"/>
      <c r="BU327" s="2" t="s">
        <v>211</v>
      </c>
      <c r="BV327" s="2" t="s">
        <v>95</v>
      </c>
      <c r="BW327" s="2" t="s">
        <v>911</v>
      </c>
      <c r="BX327" s="2" t="s">
        <v>98</v>
      </c>
      <c r="BY327" s="2" t="s">
        <v>111</v>
      </c>
    </row>
    <row r="328">
      <c r="A328" s="2" t="s">
        <v>1204</v>
      </c>
      <c r="B328" s="2" t="s">
        <v>86</v>
      </c>
      <c r="C328" s="2" t="s">
        <v>87</v>
      </c>
      <c r="D328" s="2" t="s">
        <v>88</v>
      </c>
      <c r="E328" s="2" t="s">
        <v>837</v>
      </c>
      <c r="F328" s="2" t="s">
        <v>1198</v>
      </c>
      <c r="G328" s="2" t="s">
        <v>1199</v>
      </c>
      <c r="H328" s="2" t="s">
        <v>1200</v>
      </c>
      <c r="I328" s="2" t="s">
        <v>1201</v>
      </c>
      <c r="J328" s="2" t="s">
        <v>858</v>
      </c>
      <c r="K328" s="2" t="s">
        <v>458</v>
      </c>
      <c r="L328" s="3">
        <v>44.8</v>
      </c>
      <c r="M328" s="3">
        <v>47.04</v>
      </c>
      <c r="N328" s="3">
        <v>93.99</v>
      </c>
      <c r="O328" s="2" t="s">
        <v>95</v>
      </c>
      <c r="P328" s="2" t="s">
        <v>313</v>
      </c>
      <c r="Q328" s="2" t="s">
        <v>97</v>
      </c>
      <c r="R328" s="2" t="s">
        <v>98</v>
      </c>
      <c r="S328" s="2" t="s">
        <v>1202</v>
      </c>
      <c r="T328" s="2" t="s">
        <v>878</v>
      </c>
      <c r="U328" s="2" t="s">
        <v>100</v>
      </c>
      <c r="V328" s="2" t="s">
        <v>101</v>
      </c>
      <c r="W328" s="2" t="s">
        <v>567</v>
      </c>
      <c r="X328" s="2" t="s">
        <v>335</v>
      </c>
      <c r="Y328" s="2" t="s">
        <v>172</v>
      </c>
      <c r="Z328" s="4">
        <v>59</v>
      </c>
      <c r="AA328" s="4">
        <f>=ROUNDDOWN(29.5,0)</f>
      </c>
      <c r="AB328" s="5">
        <v>2</v>
      </c>
      <c r="AC328" s="2" t="s">
        <v>98</v>
      </c>
      <c r="AD328" s="4"/>
      <c r="AE328" s="4"/>
      <c r="AF328" s="6">
        <v>75</v>
      </c>
      <c r="AG328" s="6"/>
      <c r="AH328" s="7">
        <v>0.9828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7</v>
      </c>
      <c r="BK328" s="8">
        <v>345.73</v>
      </c>
      <c r="BL328" s="2" t="s">
        <v>1203</v>
      </c>
      <c r="BM328" s="7"/>
      <c r="BN328" s="7"/>
      <c r="BO328" s="4"/>
      <c r="BP328" s="8"/>
      <c r="BQ328" s="4"/>
      <c r="BR328" s="8"/>
      <c r="BS328" s="7"/>
      <c r="BT328" s="7"/>
      <c r="BU328" s="2" t="s">
        <v>211</v>
      </c>
      <c r="BV328" s="2" t="s">
        <v>95</v>
      </c>
      <c r="BW328" s="2" t="s">
        <v>911</v>
      </c>
      <c r="BX328" s="2" t="s">
        <v>98</v>
      </c>
      <c r="BY328" s="2" t="s">
        <v>111</v>
      </c>
    </row>
    <row r="329">
      <c r="A329" s="2" t="s">
        <v>1205</v>
      </c>
      <c r="B329" s="2" t="s">
        <v>86</v>
      </c>
      <c r="C329" s="2" t="s">
        <v>87</v>
      </c>
      <c r="D329" s="2" t="s">
        <v>88</v>
      </c>
      <c r="E329" s="2" t="s">
        <v>837</v>
      </c>
      <c r="F329" s="2" t="s">
        <v>1198</v>
      </c>
      <c r="G329" s="2" t="s">
        <v>1199</v>
      </c>
      <c r="H329" s="2" t="s">
        <v>1200</v>
      </c>
      <c r="I329" s="2" t="s">
        <v>1201</v>
      </c>
      <c r="J329" s="2" t="s">
        <v>842</v>
      </c>
      <c r="K329" s="2" t="s">
        <v>557</v>
      </c>
      <c r="L329" s="3">
        <v>35.1</v>
      </c>
      <c r="M329" s="3">
        <v>36.86</v>
      </c>
      <c r="N329" s="3">
        <v>76.99</v>
      </c>
      <c r="O329" s="2" t="s">
        <v>95</v>
      </c>
      <c r="P329" s="2" t="s">
        <v>313</v>
      </c>
      <c r="Q329" s="2" t="s">
        <v>97</v>
      </c>
      <c r="R329" s="2" t="s">
        <v>98</v>
      </c>
      <c r="S329" s="2" t="s">
        <v>1206</v>
      </c>
      <c r="T329" s="2" t="s">
        <v>878</v>
      </c>
      <c r="U329" s="2" t="s">
        <v>100</v>
      </c>
      <c r="V329" s="2" t="s">
        <v>101</v>
      </c>
      <c r="W329" s="2" t="s">
        <v>567</v>
      </c>
      <c r="X329" s="2" t="s">
        <v>335</v>
      </c>
      <c r="Y329" s="2" t="s">
        <v>172</v>
      </c>
      <c r="Z329" s="4">
        <v>9</v>
      </c>
      <c r="AA329" s="4">
        <f>=ROUNDDOWN(4.73684210526316,0)</f>
      </c>
      <c r="AB329" s="5">
        <v>1.9</v>
      </c>
      <c r="AC329" s="2" t="s">
        <v>98</v>
      </c>
      <c r="AD329" s="4"/>
      <c r="AE329" s="4"/>
      <c r="AF329" s="6">
        <v>75</v>
      </c>
      <c r="AG329" s="6"/>
      <c r="AH329" s="7">
        <v>0.9828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6</v>
      </c>
      <c r="BK329" s="8">
        <v>246.92</v>
      </c>
      <c r="BL329" s="2" t="s">
        <v>1207</v>
      </c>
      <c r="BM329" s="7"/>
      <c r="BN329" s="7"/>
      <c r="BO329" s="4"/>
      <c r="BP329" s="8"/>
      <c r="BQ329" s="4"/>
      <c r="BR329" s="8"/>
      <c r="BS329" s="7"/>
      <c r="BT329" s="7"/>
      <c r="BU329" s="2" t="s">
        <v>211</v>
      </c>
      <c r="BV329" s="2" t="s">
        <v>95</v>
      </c>
      <c r="BW329" s="2" t="s">
        <v>911</v>
      </c>
      <c r="BX329" s="2" t="s">
        <v>977</v>
      </c>
      <c r="BY329" s="2" t="s">
        <v>111</v>
      </c>
    </row>
    <row r="330">
      <c r="A330" s="2" t="s">
        <v>1208</v>
      </c>
      <c r="B330" s="2" t="s">
        <v>86</v>
      </c>
      <c r="C330" s="2" t="s">
        <v>87</v>
      </c>
      <c r="D330" s="2" t="s">
        <v>88</v>
      </c>
      <c r="E330" s="2" t="s">
        <v>837</v>
      </c>
      <c r="F330" s="2" t="s">
        <v>1198</v>
      </c>
      <c r="G330" s="2" t="s">
        <v>1199</v>
      </c>
      <c r="H330" s="2" t="s">
        <v>1200</v>
      </c>
      <c r="I330" s="2" t="s">
        <v>1201</v>
      </c>
      <c r="J330" s="2" t="s">
        <v>851</v>
      </c>
      <c r="K330" s="2" t="s">
        <v>557</v>
      </c>
      <c r="L330" s="3">
        <v>38</v>
      </c>
      <c r="M330" s="3">
        <v>39.9</v>
      </c>
      <c r="N330" s="3">
        <v>81.99</v>
      </c>
      <c r="O330" s="2" t="s">
        <v>95</v>
      </c>
      <c r="P330" s="2" t="s">
        <v>313</v>
      </c>
      <c r="Q330" s="2" t="s">
        <v>97</v>
      </c>
      <c r="R330" s="2" t="s">
        <v>98</v>
      </c>
      <c r="S330" s="2" t="s">
        <v>1206</v>
      </c>
      <c r="T330" s="2" t="s">
        <v>878</v>
      </c>
      <c r="U330" s="2" t="s">
        <v>100</v>
      </c>
      <c r="V330" s="2" t="s">
        <v>101</v>
      </c>
      <c r="W330" s="2" t="s">
        <v>567</v>
      </c>
      <c r="X330" s="2" t="s">
        <v>335</v>
      </c>
      <c r="Y330" s="2" t="s">
        <v>172</v>
      </c>
      <c r="Z330" s="4">
        <v>6</v>
      </c>
      <c r="AA330" s="4">
        <f>=ROUNDDOWN(1.71428571428571,0)</f>
      </c>
      <c r="AB330" s="5">
        <v>3.5</v>
      </c>
      <c r="AC330" s="2" t="s">
        <v>98</v>
      </c>
      <c r="AD330" s="4"/>
      <c r="AE330" s="4"/>
      <c r="AF330" s="6">
        <v>75</v>
      </c>
      <c r="AG330" s="6"/>
      <c r="AH330" s="7">
        <v>0.9828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8</v>
      </c>
      <c r="BK330" s="8">
        <v>347.14</v>
      </c>
      <c r="BL330" s="2" t="s">
        <v>1207</v>
      </c>
      <c r="BM330" s="7"/>
      <c r="BN330" s="7"/>
      <c r="BO330" s="4"/>
      <c r="BP330" s="8"/>
      <c r="BQ330" s="4"/>
      <c r="BR330" s="8"/>
      <c r="BS330" s="7"/>
      <c r="BT330" s="7"/>
      <c r="BU330" s="2" t="s">
        <v>211</v>
      </c>
      <c r="BV330" s="2" t="s">
        <v>95</v>
      </c>
      <c r="BW330" s="2" t="s">
        <v>911</v>
      </c>
      <c r="BX330" s="2" t="s">
        <v>1209</v>
      </c>
      <c r="BY330" s="2" t="s">
        <v>111</v>
      </c>
    </row>
    <row r="331">
      <c r="A331" s="2" t="s">
        <v>1210</v>
      </c>
      <c r="B331" s="2" t="s">
        <v>86</v>
      </c>
      <c r="C331" s="2" t="s">
        <v>87</v>
      </c>
      <c r="D331" s="2" t="s">
        <v>88</v>
      </c>
      <c r="E331" s="2" t="s">
        <v>837</v>
      </c>
      <c r="F331" s="2" t="s">
        <v>1198</v>
      </c>
      <c r="G331" s="2" t="s">
        <v>1199</v>
      </c>
      <c r="H331" s="2" t="s">
        <v>1200</v>
      </c>
      <c r="I331" s="2" t="s">
        <v>1201</v>
      </c>
      <c r="J331" s="2" t="s">
        <v>854</v>
      </c>
      <c r="K331" s="2" t="s">
        <v>557</v>
      </c>
      <c r="L331" s="3">
        <v>43.5</v>
      </c>
      <c r="M331" s="3">
        <v>45.68</v>
      </c>
      <c r="N331" s="3">
        <v>91.99</v>
      </c>
      <c r="O331" s="2" t="s">
        <v>95</v>
      </c>
      <c r="P331" s="2" t="s">
        <v>313</v>
      </c>
      <c r="Q331" s="2" t="s">
        <v>97</v>
      </c>
      <c r="R331" s="2" t="s">
        <v>98</v>
      </c>
      <c r="S331" s="2" t="s">
        <v>1206</v>
      </c>
      <c r="T331" s="2" t="s">
        <v>878</v>
      </c>
      <c r="U331" s="2" t="s">
        <v>100</v>
      </c>
      <c r="V331" s="2" t="s">
        <v>101</v>
      </c>
      <c r="W331" s="2" t="s">
        <v>567</v>
      </c>
      <c r="X331" s="2" t="s">
        <v>335</v>
      </c>
      <c r="Y331" s="2" t="s">
        <v>172</v>
      </c>
      <c r="Z331" s="4">
        <v>63</v>
      </c>
      <c r="AA331" s="4">
        <f>=ROUNDDOWN(31.5,0)</f>
      </c>
      <c r="AB331" s="5">
        <v>2</v>
      </c>
      <c r="AC331" s="2" t="s">
        <v>98</v>
      </c>
      <c r="AD331" s="4"/>
      <c r="AE331" s="4"/>
      <c r="AF331" s="6">
        <v>75</v>
      </c>
      <c r="AG331" s="6"/>
      <c r="AH331" s="7">
        <v>0.9828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2</v>
      </c>
      <c r="BK331" s="8">
        <v>95.92</v>
      </c>
      <c r="BL331" s="2" t="s">
        <v>1203</v>
      </c>
      <c r="BM331" s="7"/>
      <c r="BN331" s="7"/>
      <c r="BO331" s="4"/>
      <c r="BP331" s="8"/>
      <c r="BQ331" s="4"/>
      <c r="BR331" s="8"/>
      <c r="BS331" s="7"/>
      <c r="BT331" s="7"/>
      <c r="BU331" s="2" t="s">
        <v>211</v>
      </c>
      <c r="BV331" s="2" t="s">
        <v>95</v>
      </c>
      <c r="BW331" s="2" t="s">
        <v>911</v>
      </c>
      <c r="BX331" s="2" t="s">
        <v>1211</v>
      </c>
      <c r="BY331" s="2" t="s">
        <v>111</v>
      </c>
    </row>
    <row r="332">
      <c r="A332" s="2" t="s">
        <v>1212</v>
      </c>
      <c r="B332" s="2" t="s">
        <v>86</v>
      </c>
      <c r="C332" s="2" t="s">
        <v>87</v>
      </c>
      <c r="D332" s="2" t="s">
        <v>88</v>
      </c>
      <c r="E332" s="2" t="s">
        <v>837</v>
      </c>
      <c r="F332" s="2" t="s">
        <v>1198</v>
      </c>
      <c r="G332" s="2" t="s">
        <v>1199</v>
      </c>
      <c r="H332" s="2" t="s">
        <v>1200</v>
      </c>
      <c r="I332" s="2" t="s">
        <v>1201</v>
      </c>
      <c r="J332" s="2" t="s">
        <v>858</v>
      </c>
      <c r="K332" s="2" t="s">
        <v>557</v>
      </c>
      <c r="L332" s="3">
        <v>44.8</v>
      </c>
      <c r="M332" s="3">
        <v>47.04</v>
      </c>
      <c r="N332" s="3">
        <v>93.99</v>
      </c>
      <c r="O332" s="2" t="s">
        <v>95</v>
      </c>
      <c r="P332" s="2" t="s">
        <v>313</v>
      </c>
      <c r="Q332" s="2" t="s">
        <v>97</v>
      </c>
      <c r="R332" s="2" t="s">
        <v>98</v>
      </c>
      <c r="S332" s="2" t="s">
        <v>1206</v>
      </c>
      <c r="T332" s="2" t="s">
        <v>878</v>
      </c>
      <c r="U332" s="2" t="s">
        <v>100</v>
      </c>
      <c r="V332" s="2" t="s">
        <v>101</v>
      </c>
      <c r="W332" s="2" t="s">
        <v>567</v>
      </c>
      <c r="X332" s="2" t="s">
        <v>335</v>
      </c>
      <c r="Y332" s="2" t="s">
        <v>172</v>
      </c>
      <c r="Z332" s="4">
        <v>9</v>
      </c>
      <c r="AA332" s="4">
        <f>=ROUNDDOWN(3,0)</f>
      </c>
      <c r="AB332" s="5">
        <v>3</v>
      </c>
      <c r="AC332" s="2" t="s">
        <v>98</v>
      </c>
      <c r="AD332" s="4"/>
      <c r="AE332" s="4"/>
      <c r="AF332" s="6">
        <v>75</v>
      </c>
      <c r="AG332" s="6"/>
      <c r="AH332" s="7">
        <v>0.9828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11</v>
      </c>
      <c r="BK332" s="8">
        <v>552.71</v>
      </c>
      <c r="BL332" s="2" t="s">
        <v>1207</v>
      </c>
      <c r="BM332" s="7"/>
      <c r="BN332" s="7"/>
      <c r="BO332" s="4"/>
      <c r="BP332" s="8"/>
      <c r="BQ332" s="4"/>
      <c r="BR332" s="8"/>
      <c r="BS332" s="7"/>
      <c r="BT332" s="7"/>
      <c r="BU332" s="2" t="s">
        <v>211</v>
      </c>
      <c r="BV332" s="2" t="s">
        <v>95</v>
      </c>
      <c r="BW332" s="2" t="s">
        <v>911</v>
      </c>
      <c r="BX332" s="2" t="s">
        <v>212</v>
      </c>
      <c r="BY332" s="2" t="s">
        <v>111</v>
      </c>
    </row>
    <row r="333">
      <c r="A333" s="2" t="s">
        <v>1213</v>
      </c>
      <c r="B333" s="2" t="s">
        <v>86</v>
      </c>
      <c r="C333" s="2" t="s">
        <v>87</v>
      </c>
      <c r="D333" s="2" t="s">
        <v>88</v>
      </c>
      <c r="E333" s="2" t="s">
        <v>1214</v>
      </c>
      <c r="F333" s="2" t="s">
        <v>1215</v>
      </c>
      <c r="G333" s="2" t="s">
        <v>1216</v>
      </c>
      <c r="H333" s="2" t="s">
        <v>1217</v>
      </c>
      <c r="I333" s="2" t="s">
        <v>1218</v>
      </c>
      <c r="J333" s="2" t="s">
        <v>93</v>
      </c>
      <c r="K333" s="2" t="s">
        <v>458</v>
      </c>
      <c r="L333" s="3">
        <v>13.86</v>
      </c>
      <c r="M333" s="3">
        <v>14.55</v>
      </c>
      <c r="N333" s="3">
        <v>32.99</v>
      </c>
      <c r="O333" s="2" t="s">
        <v>95</v>
      </c>
      <c r="P333" s="2" t="s">
        <v>96</v>
      </c>
      <c r="Q333" s="2" t="s">
        <v>97</v>
      </c>
      <c r="R333" s="2" t="s">
        <v>98</v>
      </c>
      <c r="S333" s="2" t="s">
        <v>1219</v>
      </c>
      <c r="T333" s="2" t="s">
        <v>98</v>
      </c>
      <c r="U333" s="2" t="s">
        <v>100</v>
      </c>
      <c r="V333" s="2" t="s">
        <v>482</v>
      </c>
      <c r="W333" s="2" t="s">
        <v>335</v>
      </c>
      <c r="X333" s="2" t="s">
        <v>1220</v>
      </c>
      <c r="Y333" s="2" t="s">
        <v>1221</v>
      </c>
      <c r="Z333" s="4">
        <v>2091</v>
      </c>
      <c r="AA333" s="4">
        <f>=ROUNDDOWN(8.364,0)</f>
      </c>
      <c r="AB333" s="5">
        <v>250</v>
      </c>
      <c r="AC333" s="2" t="s">
        <v>376</v>
      </c>
      <c r="AD333" s="4">
        <v>944</v>
      </c>
      <c r="AE333" s="4">
        <v>5916</v>
      </c>
      <c r="AF333" s="6">
        <v>65</v>
      </c>
      <c r="AG333" s="6"/>
      <c r="AH333" s="7">
        <v>1</v>
      </c>
      <c r="AI333" s="4"/>
      <c r="AJ333" s="4">
        <f>=ROUNDDOWN({0},0)</f>
      </c>
      <c r="AK333" s="5">
        <v>0.1</v>
      </c>
      <c r="AL333" s="2" t="s">
        <v>98</v>
      </c>
      <c r="AM333" s="4"/>
      <c r="AN333" s="4"/>
      <c r="AO333" s="7">
        <v>1</v>
      </c>
      <c r="AP333" s="4">
        <v>91</v>
      </c>
      <c r="AQ333" s="8">
        <v>1441.44</v>
      </c>
      <c r="AR333" s="4">
        <v>2226</v>
      </c>
      <c r="AS333" s="8">
        <v>24842.16</v>
      </c>
      <c r="AT333" s="7">
        <v>-0.9591</v>
      </c>
      <c r="AU333" s="7">
        <v>-0.942</v>
      </c>
      <c r="AV333" s="4">
        <v>109</v>
      </c>
      <c r="AW333" s="8">
        <v>1726.56</v>
      </c>
      <c r="AX333" s="4">
        <v>2226</v>
      </c>
      <c r="AY333" s="8">
        <v>24842.16</v>
      </c>
      <c r="AZ333" s="7">
        <v>-0.951</v>
      </c>
      <c r="BA333" s="7">
        <v>-0.9305</v>
      </c>
      <c r="BB333" s="7">
        <v>0.8349</v>
      </c>
      <c r="BC333" s="4">
        <v>338</v>
      </c>
      <c r="BD333" s="8">
        <v>5353.92</v>
      </c>
      <c r="BE333" s="4">
        <v>5469</v>
      </c>
      <c r="BF333" s="8">
        <v>65820.69</v>
      </c>
      <c r="BG333" s="7">
        <v>-0.9382</v>
      </c>
      <c r="BH333" s="7">
        <v>-0.9187</v>
      </c>
      <c r="BI333" s="7">
        <v>0.3225</v>
      </c>
      <c r="BJ333" s="4">
        <v>1825</v>
      </c>
      <c r="BK333" s="8">
        <v>25826.57</v>
      </c>
      <c r="BL333" s="2" t="s">
        <v>1222</v>
      </c>
      <c r="BM333" s="7">
        <v>0.0499</v>
      </c>
      <c r="BN333" s="7">
        <v>0.0558</v>
      </c>
      <c r="BO333" s="4">
        <v>91</v>
      </c>
      <c r="BP333" s="8">
        <v>1441.44</v>
      </c>
      <c r="BQ333" s="4">
        <v>2226</v>
      </c>
      <c r="BR333" s="8">
        <v>24842.16</v>
      </c>
      <c r="BS333" s="7">
        <v>-0.9591</v>
      </c>
      <c r="BT333" s="7">
        <v>-0.942</v>
      </c>
      <c r="BU333" s="2" t="s">
        <v>107</v>
      </c>
      <c r="BV333" s="2" t="s">
        <v>108</v>
      </c>
      <c r="BW333" s="2" t="s">
        <v>524</v>
      </c>
      <c r="BX333" s="2" t="s">
        <v>1223</v>
      </c>
      <c r="BY333" s="2" t="s">
        <v>111</v>
      </c>
    </row>
    <row r="334">
      <c r="A334" s="2" t="s">
        <v>1224</v>
      </c>
      <c r="B334" s="2" t="s">
        <v>86</v>
      </c>
      <c r="C334" s="2" t="s">
        <v>87</v>
      </c>
      <c r="D334" s="2" t="s">
        <v>88</v>
      </c>
      <c r="E334" s="2" t="s">
        <v>1214</v>
      </c>
      <c r="F334" s="2" t="s">
        <v>1215</v>
      </c>
      <c r="G334" s="2" t="s">
        <v>1216</v>
      </c>
      <c r="H334" s="2" t="s">
        <v>1217</v>
      </c>
      <c r="I334" s="2" t="s">
        <v>1218</v>
      </c>
      <c r="J334" s="2" t="s">
        <v>113</v>
      </c>
      <c r="K334" s="2" t="s">
        <v>458</v>
      </c>
      <c r="L334" s="3">
        <v>15.5</v>
      </c>
      <c r="M334" s="3">
        <v>16.28</v>
      </c>
      <c r="N334" s="3">
        <v>37.99</v>
      </c>
      <c r="O334" s="2" t="s">
        <v>95</v>
      </c>
      <c r="P334" s="2" t="s">
        <v>123</v>
      </c>
      <c r="Q334" s="2" t="s">
        <v>97</v>
      </c>
      <c r="R334" s="2" t="s">
        <v>98</v>
      </c>
      <c r="S334" s="2" t="s">
        <v>1225</v>
      </c>
      <c r="T334" s="2" t="s">
        <v>98</v>
      </c>
      <c r="U334" s="2" t="s">
        <v>100</v>
      </c>
      <c r="V334" s="2" t="s">
        <v>482</v>
      </c>
      <c r="W334" s="2" t="s">
        <v>335</v>
      </c>
      <c r="X334" s="2" t="s">
        <v>1220</v>
      </c>
      <c r="Y334" s="2" t="s">
        <v>1226</v>
      </c>
      <c r="Z334" s="4">
        <v>680</v>
      </c>
      <c r="AA334" s="4">
        <f>=ROUNDDOWN(10.9677419354839,0)</f>
      </c>
      <c r="AB334" s="5">
        <v>62</v>
      </c>
      <c r="AC334" s="2" t="s">
        <v>224</v>
      </c>
      <c r="AD334" s="4">
        <v>296</v>
      </c>
      <c r="AE334" s="4">
        <v>1404</v>
      </c>
      <c r="AF334" s="6">
        <v>65</v>
      </c>
      <c r="AG334" s="6"/>
      <c r="AH334" s="7">
        <v>1</v>
      </c>
      <c r="AI334" s="4">
        <v>12</v>
      </c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18</v>
      </c>
      <c r="AQ334" s="8">
        <v>285.12</v>
      </c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0.1651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>
        <v>377</v>
      </c>
      <c r="BK334" s="8">
        <v>6380.19</v>
      </c>
      <c r="BL334" s="2" t="s">
        <v>855</v>
      </c>
      <c r="BM334" s="7">
        <v>0.0477</v>
      </c>
      <c r="BN334" s="7">
        <v>0.0447</v>
      </c>
      <c r="BO334" s="4">
        <v>18</v>
      </c>
      <c r="BP334" s="8">
        <v>285.12</v>
      </c>
      <c r="BQ334" s="4"/>
      <c r="BR334" s="8"/>
      <c r="BS334" s="7"/>
      <c r="BT334" s="7"/>
      <c r="BU334" s="2" t="s">
        <v>107</v>
      </c>
      <c r="BV334" s="2" t="s">
        <v>108</v>
      </c>
      <c r="BW334" s="2" t="s">
        <v>171</v>
      </c>
      <c r="BX334" s="2" t="s">
        <v>204</v>
      </c>
      <c r="BY334" s="2" t="s">
        <v>111</v>
      </c>
    </row>
    <row r="335">
      <c r="A335" s="2" t="s">
        <v>1227</v>
      </c>
      <c r="B335" s="2" t="s">
        <v>86</v>
      </c>
      <c r="C335" s="2" t="s">
        <v>87</v>
      </c>
      <c r="D335" s="2" t="s">
        <v>88</v>
      </c>
      <c r="E335" s="2" t="s">
        <v>1214</v>
      </c>
      <c r="F335" s="2" t="s">
        <v>1215</v>
      </c>
      <c r="G335" s="2" t="s">
        <v>1216</v>
      </c>
      <c r="H335" s="2" t="s">
        <v>1217</v>
      </c>
      <c r="I335" s="2" t="s">
        <v>1218</v>
      </c>
      <c r="J335" s="2" t="s">
        <v>93</v>
      </c>
      <c r="K335" s="2" t="s">
        <v>1228</v>
      </c>
      <c r="L335" s="3">
        <v>13.86</v>
      </c>
      <c r="M335" s="3">
        <v>14.55</v>
      </c>
      <c r="N335" s="3">
        <v>32.99</v>
      </c>
      <c r="O335" s="2" t="s">
        <v>95</v>
      </c>
      <c r="P335" s="2" t="s">
        <v>123</v>
      </c>
      <c r="Q335" s="2" t="s">
        <v>97</v>
      </c>
      <c r="R335" s="2" t="s">
        <v>98</v>
      </c>
      <c r="S335" s="2" t="s">
        <v>1229</v>
      </c>
      <c r="T335" s="2" t="s">
        <v>98</v>
      </c>
      <c r="U335" s="2" t="s">
        <v>100</v>
      </c>
      <c r="V335" s="2" t="s">
        <v>482</v>
      </c>
      <c r="W335" s="2" t="s">
        <v>335</v>
      </c>
      <c r="X335" s="2" t="s">
        <v>1220</v>
      </c>
      <c r="Y335" s="2" t="s">
        <v>883</v>
      </c>
      <c r="Z335" s="4">
        <v>700</v>
      </c>
      <c r="AA335" s="4">
        <f>=ROUNDDOWN(8.86075949367089,0)</f>
      </c>
      <c r="AB335" s="5">
        <v>79</v>
      </c>
      <c r="AC335" s="2" t="s">
        <v>224</v>
      </c>
      <c r="AD335" s="4">
        <v>400</v>
      </c>
      <c r="AE335" s="4">
        <v>2180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95</v>
      </c>
      <c r="AQ335" s="8">
        <v>1504.8</v>
      </c>
      <c r="AR335" s="4">
        <v>3189</v>
      </c>
      <c r="AS335" s="8">
        <v>40277.07</v>
      </c>
      <c r="AT335" s="7">
        <v>-0.9702</v>
      </c>
      <c r="AU335" s="7">
        <v>-0.9626</v>
      </c>
      <c r="AV335" s="4">
        <v>107</v>
      </c>
      <c r="AW335" s="8">
        <v>1694.88</v>
      </c>
      <c r="AX335" s="4">
        <v>3189</v>
      </c>
      <c r="AY335" s="8">
        <v>40277.07</v>
      </c>
      <c r="AZ335" s="7">
        <v>-0.9664</v>
      </c>
      <c r="BA335" s="7">
        <v>-0.9579</v>
      </c>
      <c r="BB335" s="7">
        <v>0.8879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>
        <v>0.3166</v>
      </c>
      <c r="BJ335" s="4">
        <v>813</v>
      </c>
      <c r="BK335" s="8">
        <v>11999.04</v>
      </c>
      <c r="BL335" s="2" t="s">
        <v>1230</v>
      </c>
      <c r="BM335" s="7">
        <v>0.1169</v>
      </c>
      <c r="BN335" s="7">
        <v>0.1254</v>
      </c>
      <c r="BO335" s="4">
        <v>95</v>
      </c>
      <c r="BP335" s="8">
        <v>1504.8</v>
      </c>
      <c r="BQ335" s="4">
        <v>3189</v>
      </c>
      <c r="BR335" s="8">
        <v>40277.07</v>
      </c>
      <c r="BS335" s="7">
        <v>-0.9702</v>
      </c>
      <c r="BT335" s="7">
        <v>-0.9626</v>
      </c>
      <c r="BU335" s="2" t="s">
        <v>107</v>
      </c>
      <c r="BV335" s="2" t="s">
        <v>108</v>
      </c>
      <c r="BW335" s="2" t="s">
        <v>570</v>
      </c>
      <c r="BX335" s="2" t="s">
        <v>901</v>
      </c>
      <c r="BY335" s="2" t="s">
        <v>111</v>
      </c>
    </row>
    <row r="336">
      <c r="A336" s="2" t="s">
        <v>1231</v>
      </c>
      <c r="B336" s="2" t="s">
        <v>86</v>
      </c>
      <c r="C336" s="2" t="s">
        <v>87</v>
      </c>
      <c r="D336" s="2" t="s">
        <v>88</v>
      </c>
      <c r="E336" s="2" t="s">
        <v>1214</v>
      </c>
      <c r="F336" s="2" t="s">
        <v>1215</v>
      </c>
      <c r="G336" s="2" t="s">
        <v>1216</v>
      </c>
      <c r="H336" s="2" t="s">
        <v>1217</v>
      </c>
      <c r="I336" s="2" t="s">
        <v>1218</v>
      </c>
      <c r="J336" s="2" t="s">
        <v>113</v>
      </c>
      <c r="K336" s="2" t="s">
        <v>1228</v>
      </c>
      <c r="L336" s="3">
        <v>15.5</v>
      </c>
      <c r="M336" s="3">
        <v>16.28</v>
      </c>
      <c r="N336" s="3">
        <v>37.99</v>
      </c>
      <c r="O336" s="2" t="s">
        <v>95</v>
      </c>
      <c r="P336" s="2" t="s">
        <v>699</v>
      </c>
      <c r="Q336" s="2" t="s">
        <v>97</v>
      </c>
      <c r="R336" s="2" t="s">
        <v>98</v>
      </c>
      <c r="S336" s="2" t="s">
        <v>1229</v>
      </c>
      <c r="T336" s="2" t="s">
        <v>98</v>
      </c>
      <c r="U336" s="2" t="s">
        <v>100</v>
      </c>
      <c r="V336" s="2" t="s">
        <v>482</v>
      </c>
      <c r="W336" s="2" t="s">
        <v>335</v>
      </c>
      <c r="X336" s="2" t="s">
        <v>1220</v>
      </c>
      <c r="Y336" s="2" t="s">
        <v>1226</v>
      </c>
      <c r="Z336" s="4">
        <v>177</v>
      </c>
      <c r="AA336" s="4">
        <f>=ROUNDDOWN(10.4117647058824,0)</f>
      </c>
      <c r="AB336" s="5">
        <v>17</v>
      </c>
      <c r="AC336" s="2" t="s">
        <v>224</v>
      </c>
      <c r="AD336" s="4">
        <v>184</v>
      </c>
      <c r="AE336" s="4">
        <v>480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12</v>
      </c>
      <c r="AQ336" s="8">
        <v>190.08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0.1121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126</v>
      </c>
      <c r="BK336" s="8">
        <v>2179.2</v>
      </c>
      <c r="BL336" s="2" t="s">
        <v>846</v>
      </c>
      <c r="BM336" s="7">
        <v>0.0952</v>
      </c>
      <c r="BN336" s="7">
        <v>0.0872</v>
      </c>
      <c r="BO336" s="4">
        <v>12</v>
      </c>
      <c r="BP336" s="8">
        <v>190.08</v>
      </c>
      <c r="BQ336" s="4"/>
      <c r="BR336" s="8"/>
      <c r="BS336" s="7"/>
      <c r="BT336" s="7"/>
      <c r="BU336" s="2" t="s">
        <v>107</v>
      </c>
      <c r="BV336" s="2" t="s">
        <v>108</v>
      </c>
      <c r="BW336" s="2" t="s">
        <v>171</v>
      </c>
      <c r="BX336" s="2" t="s">
        <v>175</v>
      </c>
      <c r="BY336" s="2" t="s">
        <v>111</v>
      </c>
    </row>
    <row r="337">
      <c r="A337" s="2" t="s">
        <v>1232</v>
      </c>
      <c r="B337" s="2" t="s">
        <v>86</v>
      </c>
      <c r="C337" s="2" t="s">
        <v>87</v>
      </c>
      <c r="D337" s="2" t="s">
        <v>88</v>
      </c>
      <c r="E337" s="2" t="s">
        <v>1214</v>
      </c>
      <c r="F337" s="2" t="s">
        <v>1215</v>
      </c>
      <c r="G337" s="2" t="s">
        <v>1216</v>
      </c>
      <c r="H337" s="2" t="s">
        <v>1217</v>
      </c>
      <c r="I337" s="2" t="s">
        <v>1218</v>
      </c>
      <c r="J337" s="2" t="s">
        <v>93</v>
      </c>
      <c r="K337" s="2" t="s">
        <v>455</v>
      </c>
      <c r="L337" s="3">
        <v>13.86</v>
      </c>
      <c r="M337" s="3">
        <v>14.55</v>
      </c>
      <c r="N337" s="3">
        <v>32.99</v>
      </c>
      <c r="O337" s="2" t="s">
        <v>95</v>
      </c>
      <c r="P337" s="2" t="s">
        <v>150</v>
      </c>
      <c r="Q337" s="2" t="s">
        <v>97</v>
      </c>
      <c r="R337" s="2" t="s">
        <v>98</v>
      </c>
      <c r="S337" s="2" t="s">
        <v>1233</v>
      </c>
      <c r="T337" s="2" t="s">
        <v>98</v>
      </c>
      <c r="U337" s="2" t="s">
        <v>100</v>
      </c>
      <c r="V337" s="2" t="s">
        <v>482</v>
      </c>
      <c r="W337" s="2" t="s">
        <v>335</v>
      </c>
      <c r="X337" s="2" t="s">
        <v>1220</v>
      </c>
      <c r="Y337" s="2" t="s">
        <v>1234</v>
      </c>
      <c r="Z337" s="4">
        <v>1049</v>
      </c>
      <c r="AA337" s="4">
        <f>=ROUNDDOWN(17.4833333333333,0)</f>
      </c>
      <c r="AB337" s="5">
        <v>60</v>
      </c>
      <c r="AC337" s="2" t="s">
        <v>309</v>
      </c>
      <c r="AD337" s="4">
        <v>320</v>
      </c>
      <c r="AE337" s="4">
        <v>1296</v>
      </c>
      <c r="AF337" s="6">
        <v>65</v>
      </c>
      <c r="AG337" s="6"/>
      <c r="AH337" s="7">
        <v>1</v>
      </c>
      <c r="AI337" s="4">
        <v>2</v>
      </c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75</v>
      </c>
      <c r="AQ337" s="8">
        <v>1188</v>
      </c>
      <c r="AR337" s="4"/>
      <c r="AS337" s="8"/>
      <c r="AT337" s="7"/>
      <c r="AU337" s="7"/>
      <c r="AV337" s="4">
        <v>77</v>
      </c>
      <c r="AW337" s="8">
        <v>1219.68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0.974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0.2278</v>
      </c>
      <c r="BJ337" s="4">
        <v>563</v>
      </c>
      <c r="BK337" s="8">
        <v>8372.67</v>
      </c>
      <c r="BL337" s="2" t="s">
        <v>196</v>
      </c>
      <c r="BM337" s="7">
        <v>0.1332</v>
      </c>
      <c r="BN337" s="7">
        <v>0.1419</v>
      </c>
      <c r="BO337" s="4">
        <v>75</v>
      </c>
      <c r="BP337" s="8">
        <v>1188</v>
      </c>
      <c r="BQ337" s="4"/>
      <c r="BR337" s="8"/>
      <c r="BS337" s="7"/>
      <c r="BT337" s="7"/>
      <c r="BU337" s="2" t="s">
        <v>107</v>
      </c>
      <c r="BV337" s="2" t="s">
        <v>108</v>
      </c>
      <c r="BW337" s="2" t="s">
        <v>171</v>
      </c>
      <c r="BX337" s="2" t="s">
        <v>1235</v>
      </c>
      <c r="BY337" s="2" t="s">
        <v>111</v>
      </c>
    </row>
    <row r="338">
      <c r="A338" s="2" t="s">
        <v>1236</v>
      </c>
      <c r="B338" s="2" t="s">
        <v>86</v>
      </c>
      <c r="C338" s="2" t="s">
        <v>87</v>
      </c>
      <c r="D338" s="2" t="s">
        <v>88</v>
      </c>
      <c r="E338" s="2" t="s">
        <v>1214</v>
      </c>
      <c r="F338" s="2" t="s">
        <v>1215</v>
      </c>
      <c r="G338" s="2" t="s">
        <v>1216</v>
      </c>
      <c r="H338" s="2" t="s">
        <v>1217</v>
      </c>
      <c r="I338" s="2" t="s">
        <v>1218</v>
      </c>
      <c r="J338" s="2" t="s">
        <v>113</v>
      </c>
      <c r="K338" s="2" t="s">
        <v>455</v>
      </c>
      <c r="L338" s="3">
        <v>15.5</v>
      </c>
      <c r="M338" s="3">
        <v>16.28</v>
      </c>
      <c r="N338" s="3">
        <v>37.99</v>
      </c>
      <c r="O338" s="2" t="s">
        <v>95</v>
      </c>
      <c r="P338" s="2" t="s">
        <v>150</v>
      </c>
      <c r="Q338" s="2" t="s">
        <v>97</v>
      </c>
      <c r="R338" s="2" t="s">
        <v>98</v>
      </c>
      <c r="S338" s="2" t="s">
        <v>1233</v>
      </c>
      <c r="T338" s="2" t="s">
        <v>98</v>
      </c>
      <c r="U338" s="2" t="s">
        <v>100</v>
      </c>
      <c r="V338" s="2" t="s">
        <v>482</v>
      </c>
      <c r="W338" s="2" t="s">
        <v>335</v>
      </c>
      <c r="X338" s="2" t="s">
        <v>1220</v>
      </c>
      <c r="Y338" s="2" t="s">
        <v>1226</v>
      </c>
      <c r="Z338" s="4">
        <v>523</v>
      </c>
      <c r="AA338" s="4">
        <f>=ROUNDDOWN(14.6498599439776,0)</f>
      </c>
      <c r="AB338" s="5">
        <v>35.7</v>
      </c>
      <c r="AC338" s="2" t="s">
        <v>158</v>
      </c>
      <c r="AD338" s="4">
        <v>300</v>
      </c>
      <c r="AE338" s="4">
        <v>588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</v>
      </c>
      <c r="AQ338" s="8">
        <v>31.68</v>
      </c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0.026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122</v>
      </c>
      <c r="BK338" s="8">
        <v>2027.07</v>
      </c>
      <c r="BL338" s="2" t="s">
        <v>855</v>
      </c>
      <c r="BM338" s="7">
        <v>0.0164</v>
      </c>
      <c r="BN338" s="7">
        <v>0.0156</v>
      </c>
      <c r="BO338" s="4">
        <v>2</v>
      </c>
      <c r="BP338" s="8">
        <v>31.68</v>
      </c>
      <c r="BQ338" s="4"/>
      <c r="BR338" s="8"/>
      <c r="BS338" s="7"/>
      <c r="BT338" s="7"/>
      <c r="BU338" s="2" t="s">
        <v>107</v>
      </c>
      <c r="BV338" s="2" t="s">
        <v>108</v>
      </c>
      <c r="BW338" s="2" t="s">
        <v>171</v>
      </c>
      <c r="BX338" s="2" t="s">
        <v>1237</v>
      </c>
      <c r="BY338" s="2" t="s">
        <v>111</v>
      </c>
    </row>
    <row r="339">
      <c r="A339" s="2" t="s">
        <v>1238</v>
      </c>
      <c r="B339" s="2" t="s">
        <v>86</v>
      </c>
      <c r="C339" s="2" t="s">
        <v>87</v>
      </c>
      <c r="D339" s="2" t="s">
        <v>88</v>
      </c>
      <c r="E339" s="2" t="s">
        <v>1214</v>
      </c>
      <c r="F339" s="2" t="s">
        <v>1215</v>
      </c>
      <c r="G339" s="2" t="s">
        <v>1216</v>
      </c>
      <c r="H339" s="2" t="s">
        <v>1217</v>
      </c>
      <c r="I339" s="2" t="s">
        <v>1218</v>
      </c>
      <c r="J339" s="2" t="s">
        <v>93</v>
      </c>
      <c r="K339" s="2" t="s">
        <v>551</v>
      </c>
      <c r="L339" s="3">
        <v>13.86</v>
      </c>
      <c r="M339" s="3">
        <v>14.55</v>
      </c>
      <c r="N339" s="3">
        <v>32.99</v>
      </c>
      <c r="O339" s="2" t="s">
        <v>95</v>
      </c>
      <c r="P339" s="2" t="s">
        <v>123</v>
      </c>
      <c r="Q339" s="2" t="s">
        <v>97</v>
      </c>
      <c r="R339" s="2" t="s">
        <v>98</v>
      </c>
      <c r="S339" s="2" t="s">
        <v>1239</v>
      </c>
      <c r="T339" s="2" t="s">
        <v>98</v>
      </c>
      <c r="U339" s="2" t="s">
        <v>100</v>
      </c>
      <c r="V339" s="2" t="s">
        <v>482</v>
      </c>
      <c r="W339" s="2" t="s">
        <v>335</v>
      </c>
      <c r="X339" s="2" t="s">
        <v>1220</v>
      </c>
      <c r="Y339" s="2" t="s">
        <v>1240</v>
      </c>
      <c r="Z339" s="4">
        <v>621</v>
      </c>
      <c r="AA339" s="4">
        <f>=ROUNDDOWN(6.75,0)</f>
      </c>
      <c r="AB339" s="5">
        <v>92</v>
      </c>
      <c r="AC339" s="2" t="s">
        <v>376</v>
      </c>
      <c r="AD339" s="4">
        <v>720</v>
      </c>
      <c r="AE339" s="4">
        <v>2224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22</v>
      </c>
      <c r="AQ339" s="8">
        <v>348.48</v>
      </c>
      <c r="AR339" s="4">
        <v>54</v>
      </c>
      <c r="AS339" s="8">
        <v>701.46</v>
      </c>
      <c r="AT339" s="7">
        <v>-0.5926</v>
      </c>
      <c r="AU339" s="7">
        <v>-0.5032</v>
      </c>
      <c r="AV339" s="4">
        <v>45</v>
      </c>
      <c r="AW339" s="8">
        <v>712.8</v>
      </c>
      <c r="AX339" s="4">
        <v>54</v>
      </c>
      <c r="AY339" s="8">
        <v>701.46</v>
      </c>
      <c r="AZ339" s="7">
        <v>-0.1667</v>
      </c>
      <c r="BA339" s="7">
        <v>0.0162</v>
      </c>
      <c r="BB339" s="7">
        <v>0.4889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>
        <v>0.1331</v>
      </c>
      <c r="BJ339" s="4">
        <v>1038</v>
      </c>
      <c r="BK339" s="8">
        <v>14845.14</v>
      </c>
      <c r="BL339" s="2" t="s">
        <v>1241</v>
      </c>
      <c r="BM339" s="7">
        <v>0.0212</v>
      </c>
      <c r="BN339" s="7">
        <v>0.0235</v>
      </c>
      <c r="BO339" s="4">
        <v>22</v>
      </c>
      <c r="BP339" s="8">
        <v>348.48</v>
      </c>
      <c r="BQ339" s="4">
        <v>54</v>
      </c>
      <c r="BR339" s="8">
        <v>701.46</v>
      </c>
      <c r="BS339" s="7">
        <v>-0.5926</v>
      </c>
      <c r="BT339" s="7">
        <v>-0.5032</v>
      </c>
      <c r="BU339" s="2" t="s">
        <v>107</v>
      </c>
      <c r="BV339" s="2" t="s">
        <v>108</v>
      </c>
      <c r="BW339" s="2" t="s">
        <v>801</v>
      </c>
      <c r="BX339" s="2" t="s">
        <v>964</v>
      </c>
      <c r="BY339" s="2" t="s">
        <v>111</v>
      </c>
    </row>
    <row r="340">
      <c r="A340" s="2" t="s">
        <v>1242</v>
      </c>
      <c r="B340" s="2" t="s">
        <v>86</v>
      </c>
      <c r="C340" s="2" t="s">
        <v>87</v>
      </c>
      <c r="D340" s="2" t="s">
        <v>88</v>
      </c>
      <c r="E340" s="2" t="s">
        <v>1214</v>
      </c>
      <c r="F340" s="2" t="s">
        <v>1215</v>
      </c>
      <c r="G340" s="2" t="s">
        <v>1216</v>
      </c>
      <c r="H340" s="2" t="s">
        <v>1217</v>
      </c>
      <c r="I340" s="2" t="s">
        <v>1218</v>
      </c>
      <c r="J340" s="2" t="s">
        <v>113</v>
      </c>
      <c r="K340" s="2" t="s">
        <v>551</v>
      </c>
      <c r="L340" s="3">
        <v>15.5</v>
      </c>
      <c r="M340" s="3">
        <v>16.28</v>
      </c>
      <c r="N340" s="3">
        <v>37.99</v>
      </c>
      <c r="O340" s="2" t="s">
        <v>95</v>
      </c>
      <c r="P340" s="2" t="s">
        <v>699</v>
      </c>
      <c r="Q340" s="2" t="s">
        <v>97</v>
      </c>
      <c r="R340" s="2" t="s">
        <v>98</v>
      </c>
      <c r="S340" s="2" t="s">
        <v>1239</v>
      </c>
      <c r="T340" s="2" t="s">
        <v>98</v>
      </c>
      <c r="U340" s="2" t="s">
        <v>100</v>
      </c>
      <c r="V340" s="2" t="s">
        <v>482</v>
      </c>
      <c r="W340" s="2" t="s">
        <v>335</v>
      </c>
      <c r="X340" s="2" t="s">
        <v>1220</v>
      </c>
      <c r="Y340" s="2" t="s">
        <v>1226</v>
      </c>
      <c r="Z340" s="4">
        <v>338</v>
      </c>
      <c r="AA340" s="4">
        <f>=ROUNDDOWN(16.9,0)</f>
      </c>
      <c r="AB340" s="5">
        <v>20</v>
      </c>
      <c r="AC340" s="2" t="s">
        <v>376</v>
      </c>
      <c r="AD340" s="4">
        <v>84</v>
      </c>
      <c r="AE340" s="4">
        <v>292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23</v>
      </c>
      <c r="AQ340" s="8">
        <v>364.32</v>
      </c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0.5111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177</v>
      </c>
      <c r="BK340" s="8">
        <v>2948.7</v>
      </c>
      <c r="BL340" s="2" t="s">
        <v>855</v>
      </c>
      <c r="BM340" s="7">
        <v>0.1299</v>
      </c>
      <c r="BN340" s="7">
        <v>0.1236</v>
      </c>
      <c r="BO340" s="4">
        <v>23</v>
      </c>
      <c r="BP340" s="8">
        <v>364.32</v>
      </c>
      <c r="BQ340" s="4"/>
      <c r="BR340" s="8"/>
      <c r="BS340" s="7"/>
      <c r="BT340" s="7"/>
      <c r="BU340" s="2" t="s">
        <v>107</v>
      </c>
      <c r="BV340" s="2" t="s">
        <v>108</v>
      </c>
      <c r="BW340" s="2" t="s">
        <v>171</v>
      </c>
      <c r="BX340" s="2" t="s">
        <v>175</v>
      </c>
      <c r="BY340" s="2" t="s">
        <v>111</v>
      </c>
    </row>
    <row r="341">
      <c r="A341" s="2" t="s">
        <v>1243</v>
      </c>
      <c r="B341" s="2" t="s">
        <v>86</v>
      </c>
      <c r="C341" s="2" t="s">
        <v>87</v>
      </c>
      <c r="D341" s="2" t="s">
        <v>88</v>
      </c>
      <c r="E341" s="2" t="s">
        <v>1214</v>
      </c>
      <c r="F341" s="2" t="s">
        <v>1244</v>
      </c>
      <c r="G341" s="2" t="s">
        <v>1245</v>
      </c>
      <c r="H341" s="2" t="s">
        <v>1246</v>
      </c>
      <c r="I341" s="2" t="s">
        <v>1247</v>
      </c>
      <c r="J341" s="2" t="s">
        <v>331</v>
      </c>
      <c r="K341" s="2" t="s">
        <v>94</v>
      </c>
      <c r="L341" s="3">
        <v>11.88</v>
      </c>
      <c r="M341" s="3">
        <v>12.47</v>
      </c>
      <c r="N341" s="3">
        <v>26.99</v>
      </c>
      <c r="O341" s="2" t="s">
        <v>95</v>
      </c>
      <c r="P341" s="2" t="s">
        <v>129</v>
      </c>
      <c r="Q341" s="2" t="s">
        <v>97</v>
      </c>
      <c r="R341" s="2" t="s">
        <v>98</v>
      </c>
      <c r="S341" s="2" t="s">
        <v>1248</v>
      </c>
      <c r="T341" s="2" t="s">
        <v>98</v>
      </c>
      <c r="U341" s="2" t="s">
        <v>98</v>
      </c>
      <c r="V341" s="2" t="s">
        <v>1249</v>
      </c>
      <c r="W341" s="2" t="s">
        <v>1249</v>
      </c>
      <c r="X341" s="2" t="s">
        <v>1220</v>
      </c>
      <c r="Y341" s="2" t="s">
        <v>433</v>
      </c>
      <c r="Z341" s="4">
        <v>240</v>
      </c>
      <c r="AA341" s="4">
        <f>=ROUNDDOWN(8.57142857142857,0)</f>
      </c>
      <c r="AB341" s="5">
        <v>28</v>
      </c>
      <c r="AC341" s="2" t="s">
        <v>376</v>
      </c>
      <c r="AD341" s="4">
        <v>216</v>
      </c>
      <c r="AE341" s="4">
        <v>680</v>
      </c>
      <c r="AF341" s="6">
        <v>65</v>
      </c>
      <c r="AG341" s="6"/>
      <c r="AH341" s="7">
        <v>0.9222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43</v>
      </c>
      <c r="AQ341" s="8">
        <v>548.34</v>
      </c>
      <c r="AR341" s="4"/>
      <c r="AS341" s="8"/>
      <c r="AT341" s="7"/>
      <c r="AU341" s="7"/>
      <c r="AV341" s="4">
        <v>128</v>
      </c>
      <c r="AW341" s="8">
        <v>1903.95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0.288</v>
      </c>
      <c r="BC341" s="4">
        <v>193</v>
      </c>
      <c r="BD341" s="8">
        <v>2843.82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0.6695</v>
      </c>
      <c r="BJ341" s="4">
        <v>356</v>
      </c>
      <c r="BK341" s="8">
        <v>4408.88</v>
      </c>
      <c r="BL341" s="2" t="s">
        <v>1250</v>
      </c>
      <c r="BM341" s="7">
        <v>0.1208</v>
      </c>
      <c r="BN341" s="7">
        <v>0.1244</v>
      </c>
      <c r="BO341" s="4">
        <v>43</v>
      </c>
      <c r="BP341" s="8">
        <v>548.34</v>
      </c>
      <c r="BQ341" s="4"/>
      <c r="BR341" s="8"/>
      <c r="BS341" s="7"/>
      <c r="BT341" s="7"/>
      <c r="BU341" s="2" t="s">
        <v>107</v>
      </c>
      <c r="BV341" s="2" t="s">
        <v>108</v>
      </c>
      <c r="BW341" s="2" t="s">
        <v>524</v>
      </c>
      <c r="BX341" s="2" t="s">
        <v>525</v>
      </c>
      <c r="BY341" s="2" t="s">
        <v>111</v>
      </c>
    </row>
    <row r="342">
      <c r="A342" s="2" t="s">
        <v>1251</v>
      </c>
      <c r="B342" s="2" t="s">
        <v>86</v>
      </c>
      <c r="C342" s="2" t="s">
        <v>87</v>
      </c>
      <c r="D342" s="2" t="s">
        <v>88</v>
      </c>
      <c r="E342" s="2" t="s">
        <v>1214</v>
      </c>
      <c r="F342" s="2" t="s">
        <v>1244</v>
      </c>
      <c r="G342" s="2" t="s">
        <v>1245</v>
      </c>
      <c r="H342" s="2" t="s">
        <v>1246</v>
      </c>
      <c r="I342" s="2" t="s">
        <v>1247</v>
      </c>
      <c r="J342" s="2" t="s">
        <v>93</v>
      </c>
      <c r="K342" s="2" t="s">
        <v>94</v>
      </c>
      <c r="L342" s="3">
        <v>14.19</v>
      </c>
      <c r="M342" s="3">
        <v>14.9</v>
      </c>
      <c r="N342" s="3">
        <v>32.99</v>
      </c>
      <c r="O342" s="2" t="s">
        <v>95</v>
      </c>
      <c r="P342" s="2" t="s">
        <v>129</v>
      </c>
      <c r="Q342" s="2" t="s">
        <v>97</v>
      </c>
      <c r="R342" s="2" t="s">
        <v>98</v>
      </c>
      <c r="S342" s="2" t="s">
        <v>1248</v>
      </c>
      <c r="T342" s="2" t="s">
        <v>98</v>
      </c>
      <c r="U342" s="2" t="s">
        <v>98</v>
      </c>
      <c r="V342" s="2" t="s">
        <v>1249</v>
      </c>
      <c r="W342" s="2" t="s">
        <v>1249</v>
      </c>
      <c r="X342" s="2" t="s">
        <v>1220</v>
      </c>
      <c r="Y342" s="2" t="s">
        <v>433</v>
      </c>
      <c r="Z342" s="4">
        <v>592</v>
      </c>
      <c r="AA342" s="4">
        <f>=ROUNDDOWN(8.57971014492754,0)</f>
      </c>
      <c r="AB342" s="5">
        <v>69</v>
      </c>
      <c r="AC342" s="2" t="s">
        <v>376</v>
      </c>
      <c r="AD342" s="4">
        <v>84</v>
      </c>
      <c r="AE342" s="4">
        <v>1508</v>
      </c>
      <c r="AF342" s="6">
        <v>65</v>
      </c>
      <c r="AG342" s="6"/>
      <c r="AH342" s="7">
        <v>1</v>
      </c>
      <c r="AI342" s="4"/>
      <c r="AJ342" s="4">
        <f>=ROUNDDOWN({0},0)</f>
      </c>
      <c r="AK342" s="5">
        <v>0.7</v>
      </c>
      <c r="AL342" s="2" t="s">
        <v>98</v>
      </c>
      <c r="AM342" s="4"/>
      <c r="AN342" s="4"/>
      <c r="AO342" s="7">
        <v>0.8333</v>
      </c>
      <c r="AP342" s="4">
        <v>49</v>
      </c>
      <c r="AQ342" s="8">
        <v>741.08</v>
      </c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0.3892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848</v>
      </c>
      <c r="BK342" s="8">
        <v>12389.71</v>
      </c>
      <c r="BL342" s="2" t="s">
        <v>664</v>
      </c>
      <c r="BM342" s="7">
        <v>0.0578</v>
      </c>
      <c r="BN342" s="7">
        <v>0.0598</v>
      </c>
      <c r="BO342" s="4">
        <v>49</v>
      </c>
      <c r="BP342" s="8">
        <v>741.08</v>
      </c>
      <c r="BQ342" s="4"/>
      <c r="BR342" s="8"/>
      <c r="BS342" s="7"/>
      <c r="BT342" s="7"/>
      <c r="BU342" s="2" t="s">
        <v>107</v>
      </c>
      <c r="BV342" s="2" t="s">
        <v>108</v>
      </c>
      <c r="BW342" s="2" t="s">
        <v>524</v>
      </c>
      <c r="BX342" s="2" t="s">
        <v>862</v>
      </c>
      <c r="BY342" s="2" t="s">
        <v>111</v>
      </c>
    </row>
    <row r="343">
      <c r="A343" s="2" t="s">
        <v>1252</v>
      </c>
      <c r="B343" s="2" t="s">
        <v>86</v>
      </c>
      <c r="C343" s="2" t="s">
        <v>87</v>
      </c>
      <c r="D343" s="2" t="s">
        <v>88</v>
      </c>
      <c r="E343" s="2" t="s">
        <v>1214</v>
      </c>
      <c r="F343" s="2" t="s">
        <v>1244</v>
      </c>
      <c r="G343" s="2" t="s">
        <v>1245</v>
      </c>
      <c r="H343" s="2" t="s">
        <v>1246</v>
      </c>
      <c r="I343" s="2" t="s">
        <v>1247</v>
      </c>
      <c r="J343" s="2" t="s">
        <v>113</v>
      </c>
      <c r="K343" s="2" t="s">
        <v>94</v>
      </c>
      <c r="L343" s="3">
        <v>15.91</v>
      </c>
      <c r="M343" s="3">
        <v>16.71</v>
      </c>
      <c r="N343" s="3">
        <v>36.99</v>
      </c>
      <c r="O343" s="2" t="s">
        <v>95</v>
      </c>
      <c r="P343" s="2" t="s">
        <v>129</v>
      </c>
      <c r="Q343" s="2" t="s">
        <v>97</v>
      </c>
      <c r="R343" s="2" t="s">
        <v>98</v>
      </c>
      <c r="S343" s="2" t="s">
        <v>1248</v>
      </c>
      <c r="T343" s="2" t="s">
        <v>98</v>
      </c>
      <c r="U343" s="2" t="s">
        <v>98</v>
      </c>
      <c r="V343" s="2" t="s">
        <v>1249</v>
      </c>
      <c r="W343" s="2" t="s">
        <v>1249</v>
      </c>
      <c r="X343" s="2" t="s">
        <v>1220</v>
      </c>
      <c r="Y343" s="2" t="s">
        <v>433</v>
      </c>
      <c r="Z343" s="4">
        <v>442</v>
      </c>
      <c r="AA343" s="4">
        <f>=ROUNDDOWN(15.7857142857143,0)</f>
      </c>
      <c r="AB343" s="5">
        <v>28</v>
      </c>
      <c r="AC343" s="2" t="s">
        <v>376</v>
      </c>
      <c r="AD343" s="4">
        <v>152</v>
      </c>
      <c r="AE343" s="4">
        <v>412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36</v>
      </c>
      <c r="AQ343" s="8">
        <v>614.53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0.3228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450</v>
      </c>
      <c r="BK343" s="8">
        <v>7352.17</v>
      </c>
      <c r="BL343" s="2" t="s">
        <v>664</v>
      </c>
      <c r="BM343" s="7">
        <v>0.08</v>
      </c>
      <c r="BN343" s="7">
        <v>0.0836</v>
      </c>
      <c r="BO343" s="4">
        <v>36</v>
      </c>
      <c r="BP343" s="8">
        <v>614.53</v>
      </c>
      <c r="BQ343" s="4"/>
      <c r="BR343" s="8"/>
      <c r="BS343" s="7"/>
      <c r="BT343" s="7"/>
      <c r="BU343" s="2" t="s">
        <v>107</v>
      </c>
      <c r="BV343" s="2" t="s">
        <v>108</v>
      </c>
      <c r="BW343" s="2" t="s">
        <v>524</v>
      </c>
      <c r="BX343" s="2" t="s">
        <v>1253</v>
      </c>
      <c r="BY343" s="2" t="s">
        <v>111</v>
      </c>
    </row>
    <row r="344">
      <c r="A344" s="2" t="s">
        <v>1254</v>
      </c>
      <c r="B344" s="2" t="s">
        <v>86</v>
      </c>
      <c r="C344" s="2" t="s">
        <v>87</v>
      </c>
      <c r="D344" s="2" t="s">
        <v>88</v>
      </c>
      <c r="E344" s="2" t="s">
        <v>1214</v>
      </c>
      <c r="F344" s="2" t="s">
        <v>1244</v>
      </c>
      <c r="G344" s="2" t="s">
        <v>1245</v>
      </c>
      <c r="H344" s="2" t="s">
        <v>1246</v>
      </c>
      <c r="I344" s="2" t="s">
        <v>1247</v>
      </c>
      <c r="J344" s="2" t="s">
        <v>331</v>
      </c>
      <c r="K344" s="2" t="s">
        <v>557</v>
      </c>
      <c r="L344" s="3">
        <v>11.88</v>
      </c>
      <c r="M344" s="3">
        <v>12.47</v>
      </c>
      <c r="N344" s="3">
        <v>26.99</v>
      </c>
      <c r="O344" s="2" t="s">
        <v>95</v>
      </c>
      <c r="P344" s="2" t="s">
        <v>150</v>
      </c>
      <c r="Q344" s="2" t="s">
        <v>97</v>
      </c>
      <c r="R344" s="2" t="s">
        <v>98</v>
      </c>
      <c r="S344" s="2" t="s">
        <v>1255</v>
      </c>
      <c r="T344" s="2" t="s">
        <v>98</v>
      </c>
      <c r="U344" s="2" t="s">
        <v>100</v>
      </c>
      <c r="V344" s="2" t="s">
        <v>1249</v>
      </c>
      <c r="W344" s="2" t="s">
        <v>1249</v>
      </c>
      <c r="X344" s="2" t="s">
        <v>1220</v>
      </c>
      <c r="Y344" s="2" t="s">
        <v>1256</v>
      </c>
      <c r="Z344" s="4">
        <v>359</v>
      </c>
      <c r="AA344" s="4">
        <f>=ROUNDDOWN(23.9333333333333,0)</f>
      </c>
      <c r="AB344" s="5">
        <v>15</v>
      </c>
      <c r="AC344" s="2" t="s">
        <v>250</v>
      </c>
      <c r="AD344" s="4">
        <v>268</v>
      </c>
      <c r="AE344" s="4">
        <v>428</v>
      </c>
      <c r="AF344" s="6">
        <v>65</v>
      </c>
      <c r="AG344" s="6"/>
      <c r="AH344" s="7">
        <v>0.5444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26</v>
      </c>
      <c r="AQ344" s="8">
        <v>322.92</v>
      </c>
      <c r="AR344" s="4"/>
      <c r="AS344" s="8"/>
      <c r="AT344" s="7"/>
      <c r="AU344" s="7"/>
      <c r="AV344" s="4">
        <v>65</v>
      </c>
      <c r="AW344" s="8">
        <v>939.87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0.3436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0.3305</v>
      </c>
      <c r="BJ344" s="4">
        <v>111</v>
      </c>
      <c r="BK344" s="8">
        <v>1404.43</v>
      </c>
      <c r="BL344" s="2" t="s">
        <v>1257</v>
      </c>
      <c r="BM344" s="7">
        <v>0.2342</v>
      </c>
      <c r="BN344" s="7">
        <v>0.2299</v>
      </c>
      <c r="BO344" s="4">
        <v>26</v>
      </c>
      <c r="BP344" s="8">
        <v>322.92</v>
      </c>
      <c r="BQ344" s="4"/>
      <c r="BR344" s="8"/>
      <c r="BS344" s="7"/>
      <c r="BT344" s="7"/>
      <c r="BU344" s="2" t="s">
        <v>107</v>
      </c>
      <c r="BV344" s="2" t="s">
        <v>108</v>
      </c>
      <c r="BW344" s="2" t="s">
        <v>1258</v>
      </c>
      <c r="BX344" s="2" t="s">
        <v>539</v>
      </c>
      <c r="BY344" s="2" t="s">
        <v>111</v>
      </c>
    </row>
    <row r="345">
      <c r="A345" s="2" t="s">
        <v>1259</v>
      </c>
      <c r="B345" s="2" t="s">
        <v>86</v>
      </c>
      <c r="C345" s="2" t="s">
        <v>87</v>
      </c>
      <c r="D345" s="2" t="s">
        <v>88</v>
      </c>
      <c r="E345" s="2" t="s">
        <v>1214</v>
      </c>
      <c r="F345" s="2" t="s">
        <v>1244</v>
      </c>
      <c r="G345" s="2" t="s">
        <v>1245</v>
      </c>
      <c r="H345" s="2" t="s">
        <v>1246</v>
      </c>
      <c r="I345" s="2" t="s">
        <v>1247</v>
      </c>
      <c r="J345" s="2" t="s">
        <v>93</v>
      </c>
      <c r="K345" s="2" t="s">
        <v>557</v>
      </c>
      <c r="L345" s="3">
        <v>14.19</v>
      </c>
      <c r="M345" s="3">
        <v>14.9</v>
      </c>
      <c r="N345" s="3">
        <v>32.99</v>
      </c>
      <c r="O345" s="2" t="s">
        <v>95</v>
      </c>
      <c r="P345" s="2" t="s">
        <v>150</v>
      </c>
      <c r="Q345" s="2" t="s">
        <v>97</v>
      </c>
      <c r="R345" s="2" t="s">
        <v>98</v>
      </c>
      <c r="S345" s="2" t="s">
        <v>1255</v>
      </c>
      <c r="T345" s="2" t="s">
        <v>98</v>
      </c>
      <c r="U345" s="2" t="s">
        <v>100</v>
      </c>
      <c r="V345" s="2" t="s">
        <v>1249</v>
      </c>
      <c r="W345" s="2" t="s">
        <v>1249</v>
      </c>
      <c r="X345" s="2" t="s">
        <v>1220</v>
      </c>
      <c r="Y345" s="2" t="s">
        <v>1256</v>
      </c>
      <c r="Z345" s="4">
        <v>835</v>
      </c>
      <c r="AA345" s="4">
        <f>=ROUNDDOWN(19.8809523809524,0)</f>
      </c>
      <c r="AB345" s="5">
        <v>42</v>
      </c>
      <c r="AC345" s="2" t="s">
        <v>250</v>
      </c>
      <c r="AD345" s="4">
        <v>396</v>
      </c>
      <c r="AE345" s="4">
        <v>1024</v>
      </c>
      <c r="AF345" s="6">
        <v>65</v>
      </c>
      <c r="AG345" s="6"/>
      <c r="AH345" s="7">
        <v>0.5444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18</v>
      </c>
      <c r="AQ345" s="8">
        <v>267.3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0.2844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206</v>
      </c>
      <c r="BK345" s="8">
        <v>3165.72</v>
      </c>
      <c r="BL345" s="2" t="s">
        <v>1260</v>
      </c>
      <c r="BM345" s="7">
        <v>0.0874</v>
      </c>
      <c r="BN345" s="7">
        <v>0.0844</v>
      </c>
      <c r="BO345" s="4">
        <v>18</v>
      </c>
      <c r="BP345" s="8">
        <v>267.3</v>
      </c>
      <c r="BQ345" s="4"/>
      <c r="BR345" s="8"/>
      <c r="BS345" s="7"/>
      <c r="BT345" s="7"/>
      <c r="BU345" s="2" t="s">
        <v>107</v>
      </c>
      <c r="BV345" s="2" t="s">
        <v>108</v>
      </c>
      <c r="BW345" s="2" t="s">
        <v>1258</v>
      </c>
      <c r="BX345" s="2" t="s">
        <v>602</v>
      </c>
      <c r="BY345" s="2" t="s">
        <v>111</v>
      </c>
    </row>
    <row r="346">
      <c r="A346" s="2" t="s">
        <v>1261</v>
      </c>
      <c r="B346" s="2" t="s">
        <v>86</v>
      </c>
      <c r="C346" s="2" t="s">
        <v>87</v>
      </c>
      <c r="D346" s="2" t="s">
        <v>88</v>
      </c>
      <c r="E346" s="2" t="s">
        <v>1214</v>
      </c>
      <c r="F346" s="2" t="s">
        <v>1244</v>
      </c>
      <c r="G346" s="2" t="s">
        <v>1245</v>
      </c>
      <c r="H346" s="2" t="s">
        <v>1246</v>
      </c>
      <c r="I346" s="2" t="s">
        <v>1247</v>
      </c>
      <c r="J346" s="2" t="s">
        <v>113</v>
      </c>
      <c r="K346" s="2" t="s">
        <v>557</v>
      </c>
      <c r="L346" s="3">
        <v>15.91</v>
      </c>
      <c r="M346" s="3">
        <v>16.71</v>
      </c>
      <c r="N346" s="3">
        <v>36.99</v>
      </c>
      <c r="O346" s="2" t="s">
        <v>95</v>
      </c>
      <c r="P346" s="2" t="s">
        <v>150</v>
      </c>
      <c r="Q346" s="2" t="s">
        <v>97</v>
      </c>
      <c r="R346" s="2" t="s">
        <v>98</v>
      </c>
      <c r="S346" s="2" t="s">
        <v>1255</v>
      </c>
      <c r="T346" s="2" t="s">
        <v>98</v>
      </c>
      <c r="U346" s="2" t="s">
        <v>100</v>
      </c>
      <c r="V346" s="2" t="s">
        <v>1249</v>
      </c>
      <c r="W346" s="2" t="s">
        <v>1249</v>
      </c>
      <c r="X346" s="2" t="s">
        <v>1220</v>
      </c>
      <c r="Y346" s="2" t="s">
        <v>1256</v>
      </c>
      <c r="Z346" s="4">
        <v>350</v>
      </c>
      <c r="AA346" s="4">
        <f>=ROUNDDOWN(21.875,0)</f>
      </c>
      <c r="AB346" s="5">
        <v>16</v>
      </c>
      <c r="AC346" s="2" t="s">
        <v>624</v>
      </c>
      <c r="AD346" s="4">
        <v>224</v>
      </c>
      <c r="AE346" s="4">
        <v>224</v>
      </c>
      <c r="AF346" s="6">
        <v>65</v>
      </c>
      <c r="AG346" s="6"/>
      <c r="AH346" s="7">
        <v>0.7333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21</v>
      </c>
      <c r="AQ346" s="8">
        <v>349.65</v>
      </c>
      <c r="AR346" s="4"/>
      <c r="AS346" s="8"/>
      <c r="AT346" s="7"/>
      <c r="AU346" s="7"/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0.372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 t="s">
        <v>98</v>
      </c>
      <c r="BJ346" s="4">
        <v>115</v>
      </c>
      <c r="BK346" s="8">
        <v>1938.82</v>
      </c>
      <c r="BL346" s="2" t="s">
        <v>846</v>
      </c>
      <c r="BM346" s="7">
        <v>0.1826</v>
      </c>
      <c r="BN346" s="7">
        <v>0.1803</v>
      </c>
      <c r="BO346" s="4">
        <v>21</v>
      </c>
      <c r="BP346" s="8">
        <v>349.65</v>
      </c>
      <c r="BQ346" s="4"/>
      <c r="BR346" s="8"/>
      <c r="BS346" s="7"/>
      <c r="BT346" s="7"/>
      <c r="BU346" s="2" t="s">
        <v>107</v>
      </c>
      <c r="BV346" s="2" t="s">
        <v>108</v>
      </c>
      <c r="BW346" s="2" t="s">
        <v>1258</v>
      </c>
      <c r="BX346" s="2" t="s">
        <v>602</v>
      </c>
      <c r="BY346" s="2" t="s">
        <v>111</v>
      </c>
    </row>
    <row r="347">
      <c r="A347" s="2" t="s">
        <v>1262</v>
      </c>
      <c r="B347" s="2" t="s">
        <v>86</v>
      </c>
      <c r="C347" s="2" t="s">
        <v>87</v>
      </c>
      <c r="D347" s="2" t="s">
        <v>88</v>
      </c>
      <c r="E347" s="2" t="s">
        <v>1214</v>
      </c>
      <c r="F347" s="2" t="s">
        <v>1244</v>
      </c>
      <c r="G347" s="2" t="s">
        <v>1245</v>
      </c>
      <c r="H347" s="2" t="s">
        <v>1246</v>
      </c>
      <c r="I347" s="2" t="s">
        <v>1247</v>
      </c>
      <c r="J347" s="2" t="s">
        <v>93</v>
      </c>
      <c r="K347" s="2" t="s">
        <v>1263</v>
      </c>
      <c r="L347" s="3">
        <v>14.19</v>
      </c>
      <c r="M347" s="3">
        <v>14.9</v>
      </c>
      <c r="N347" s="3">
        <v>32.99</v>
      </c>
      <c r="O347" s="2" t="s">
        <v>95</v>
      </c>
      <c r="P347" s="2" t="s">
        <v>313</v>
      </c>
      <c r="Q347" s="2" t="s">
        <v>97</v>
      </c>
      <c r="R347" s="2" t="s">
        <v>98</v>
      </c>
      <c r="S347" s="2" t="s">
        <v>1264</v>
      </c>
      <c r="T347" s="2" t="s">
        <v>98</v>
      </c>
      <c r="U347" s="2" t="s">
        <v>100</v>
      </c>
      <c r="V347" s="2" t="s">
        <v>1249</v>
      </c>
      <c r="W347" s="2" t="s">
        <v>1249</v>
      </c>
      <c r="X347" s="2" t="s">
        <v>1220</v>
      </c>
      <c r="Y347" s="2" t="s">
        <v>1265</v>
      </c>
      <c r="Z347" s="4">
        <v>259</v>
      </c>
      <c r="AA347" s="4">
        <f>=ROUNDDOWN(51.8,0)</f>
      </c>
      <c r="AB347" s="5">
        <v>5</v>
      </c>
      <c r="AC347" s="2" t="s">
        <v>98</v>
      </c>
      <c r="AD347" s="4"/>
      <c r="AE347" s="4"/>
      <c r="AF347" s="6">
        <v>65</v>
      </c>
      <c r="AG347" s="6"/>
      <c r="AH347" s="7">
        <v>0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/>
      <c r="BK347" s="8"/>
      <c r="BL347" s="2" t="s">
        <v>98</v>
      </c>
      <c r="BM347" s="7"/>
      <c r="BN347" s="7"/>
      <c r="BO347" s="4"/>
      <c r="BP347" s="8"/>
      <c r="BQ347" s="4"/>
      <c r="BR347" s="8"/>
      <c r="BS347" s="7"/>
      <c r="BT347" s="7"/>
      <c r="BU347" s="2" t="s">
        <v>316</v>
      </c>
      <c r="BV347" s="2" t="s">
        <v>95</v>
      </c>
      <c r="BW347" s="2" t="s">
        <v>98</v>
      </c>
      <c r="BX347" s="2" t="s">
        <v>98</v>
      </c>
      <c r="BY347" s="2" t="s">
        <v>111</v>
      </c>
    </row>
    <row r="348">
      <c r="A348" s="2" t="s">
        <v>1266</v>
      </c>
      <c r="B348" s="2" t="s">
        <v>86</v>
      </c>
      <c r="C348" s="2" t="s">
        <v>87</v>
      </c>
      <c r="D348" s="2" t="s">
        <v>88</v>
      </c>
      <c r="E348" s="2" t="s">
        <v>1214</v>
      </c>
      <c r="F348" s="2" t="s">
        <v>1244</v>
      </c>
      <c r="G348" s="2" t="s">
        <v>1245</v>
      </c>
      <c r="H348" s="2" t="s">
        <v>1246</v>
      </c>
      <c r="I348" s="2" t="s">
        <v>1247</v>
      </c>
      <c r="J348" s="2" t="s">
        <v>113</v>
      </c>
      <c r="K348" s="2" t="s">
        <v>1263</v>
      </c>
      <c r="L348" s="3">
        <v>15.91</v>
      </c>
      <c r="M348" s="3">
        <v>16.71</v>
      </c>
      <c r="N348" s="3">
        <v>36.99</v>
      </c>
      <c r="O348" s="2" t="s">
        <v>95</v>
      </c>
      <c r="P348" s="2" t="s">
        <v>313</v>
      </c>
      <c r="Q348" s="2" t="s">
        <v>97</v>
      </c>
      <c r="R348" s="2" t="s">
        <v>98</v>
      </c>
      <c r="S348" s="2" t="s">
        <v>1267</v>
      </c>
      <c r="T348" s="2" t="s">
        <v>98</v>
      </c>
      <c r="U348" s="2" t="s">
        <v>100</v>
      </c>
      <c r="V348" s="2" t="s">
        <v>1249</v>
      </c>
      <c r="W348" s="2" t="s">
        <v>1249</v>
      </c>
      <c r="X348" s="2" t="s">
        <v>1220</v>
      </c>
      <c r="Y348" s="2" t="s">
        <v>1265</v>
      </c>
      <c r="Z348" s="4">
        <v>183</v>
      </c>
      <c r="AA348" s="4">
        <f>=ROUNDDOWN(91.5,0)</f>
      </c>
      <c r="AB348" s="5">
        <v>2</v>
      </c>
      <c r="AC348" s="2" t="s">
        <v>98</v>
      </c>
      <c r="AD348" s="4"/>
      <c r="AE348" s="4"/>
      <c r="AF348" s="6">
        <v>65</v>
      </c>
      <c r="AG348" s="6"/>
      <c r="AH348" s="7">
        <v>0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/>
      <c r="BK348" s="8"/>
      <c r="BL348" s="2" t="s">
        <v>98</v>
      </c>
      <c r="BM348" s="7"/>
      <c r="BN348" s="7"/>
      <c r="BO348" s="4"/>
      <c r="BP348" s="8"/>
      <c r="BQ348" s="4"/>
      <c r="BR348" s="8"/>
      <c r="BS348" s="7"/>
      <c r="BT348" s="7"/>
      <c r="BU348" s="2" t="s">
        <v>316</v>
      </c>
      <c r="BV348" s="2" t="s">
        <v>95</v>
      </c>
      <c r="BW348" s="2" t="s">
        <v>98</v>
      </c>
      <c r="BX348" s="2" t="s">
        <v>98</v>
      </c>
      <c r="BY348" s="2" t="s">
        <v>111</v>
      </c>
    </row>
    <row r="349">
      <c r="A349" s="2" t="s">
        <v>1268</v>
      </c>
      <c r="B349" s="2" t="s">
        <v>86</v>
      </c>
      <c r="C349" s="2" t="s">
        <v>87</v>
      </c>
      <c r="D349" s="2" t="s">
        <v>88</v>
      </c>
      <c r="E349" s="2" t="s">
        <v>1214</v>
      </c>
      <c r="F349" s="2" t="s">
        <v>1269</v>
      </c>
      <c r="G349" s="2" t="s">
        <v>1270</v>
      </c>
      <c r="H349" s="2" t="s">
        <v>1271</v>
      </c>
      <c r="I349" s="2" t="s">
        <v>1272</v>
      </c>
      <c r="J349" s="2" t="s">
        <v>331</v>
      </c>
      <c r="K349" s="2" t="s">
        <v>94</v>
      </c>
      <c r="L349" s="3">
        <v>14.85</v>
      </c>
      <c r="M349" s="3">
        <v>15.59</v>
      </c>
      <c r="N349" s="3">
        <v>32.99</v>
      </c>
      <c r="O349" s="2" t="s">
        <v>95</v>
      </c>
      <c r="P349" s="2" t="s">
        <v>129</v>
      </c>
      <c r="Q349" s="2" t="s">
        <v>97</v>
      </c>
      <c r="R349" s="2" t="s">
        <v>98</v>
      </c>
      <c r="S349" s="2" t="s">
        <v>1273</v>
      </c>
      <c r="T349" s="2" t="s">
        <v>98</v>
      </c>
      <c r="U349" s="2" t="s">
        <v>100</v>
      </c>
      <c r="V349" s="2" t="s">
        <v>482</v>
      </c>
      <c r="W349" s="2" t="s">
        <v>335</v>
      </c>
      <c r="X349" s="2" t="s">
        <v>372</v>
      </c>
      <c r="Y349" s="2" t="s">
        <v>104</v>
      </c>
      <c r="Z349" s="4">
        <v>145</v>
      </c>
      <c r="AA349" s="4">
        <f>=ROUNDDOWN(8.05555555555556,0)</f>
      </c>
      <c r="AB349" s="5">
        <v>18</v>
      </c>
      <c r="AC349" s="2" t="s">
        <v>224</v>
      </c>
      <c r="AD349" s="4">
        <v>336</v>
      </c>
      <c r="AE349" s="4">
        <v>336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19</v>
      </c>
      <c r="AQ349" s="8">
        <v>313.5</v>
      </c>
      <c r="AR349" s="4">
        <v>81</v>
      </c>
      <c r="AS349" s="8">
        <v>1076.49</v>
      </c>
      <c r="AT349" s="7">
        <v>-0.7654</v>
      </c>
      <c r="AU349" s="7">
        <v>-0.7088</v>
      </c>
      <c r="AV349" s="4">
        <v>56</v>
      </c>
      <c r="AW349" s="8">
        <v>1058.25</v>
      </c>
      <c r="AX349" s="4">
        <v>387</v>
      </c>
      <c r="AY349" s="8">
        <v>6426.71</v>
      </c>
      <c r="AZ349" s="7">
        <v>-0.8553</v>
      </c>
      <c r="BA349" s="7">
        <v>-0.8353</v>
      </c>
      <c r="BB349" s="7">
        <v>0.2962</v>
      </c>
      <c r="BC349" s="4">
        <v>91</v>
      </c>
      <c r="BD349" s="8">
        <v>1718.25</v>
      </c>
      <c r="BE349" s="4">
        <v>721</v>
      </c>
      <c r="BF349" s="8">
        <v>11682.25</v>
      </c>
      <c r="BG349" s="7">
        <v>-0.8738</v>
      </c>
      <c r="BH349" s="7">
        <v>-0.8529</v>
      </c>
      <c r="BI349" s="7">
        <v>0.6159</v>
      </c>
      <c r="BJ349" s="4">
        <v>187</v>
      </c>
      <c r="BK349" s="8">
        <v>2723.19</v>
      </c>
      <c r="BL349" s="2" t="s">
        <v>1274</v>
      </c>
      <c r="BM349" s="7">
        <v>0.1016</v>
      </c>
      <c r="BN349" s="7">
        <v>0.1151</v>
      </c>
      <c r="BO349" s="4">
        <v>19</v>
      </c>
      <c r="BP349" s="8">
        <v>313.5</v>
      </c>
      <c r="BQ349" s="4">
        <v>81</v>
      </c>
      <c r="BR349" s="8">
        <v>1076.49</v>
      </c>
      <c r="BS349" s="7">
        <v>-0.7654</v>
      </c>
      <c r="BT349" s="7">
        <v>-0.7088</v>
      </c>
      <c r="BU349" s="2" t="s">
        <v>107</v>
      </c>
      <c r="BV349" s="2" t="s">
        <v>108</v>
      </c>
      <c r="BW349" s="2" t="s">
        <v>244</v>
      </c>
      <c r="BX349" s="2" t="s">
        <v>1275</v>
      </c>
      <c r="BY349" s="2" t="s">
        <v>111</v>
      </c>
    </row>
    <row r="350">
      <c r="A350" s="2" t="s">
        <v>1276</v>
      </c>
      <c r="B350" s="2" t="s">
        <v>86</v>
      </c>
      <c r="C350" s="2" t="s">
        <v>87</v>
      </c>
      <c r="D350" s="2" t="s">
        <v>88</v>
      </c>
      <c r="E350" s="2" t="s">
        <v>1214</v>
      </c>
      <c r="F350" s="2" t="s">
        <v>1269</v>
      </c>
      <c r="G350" s="2" t="s">
        <v>1270</v>
      </c>
      <c r="H350" s="2" t="s">
        <v>1271</v>
      </c>
      <c r="I350" s="2" t="s">
        <v>1272</v>
      </c>
      <c r="J350" s="2" t="s">
        <v>93</v>
      </c>
      <c r="K350" s="2" t="s">
        <v>94</v>
      </c>
      <c r="L350" s="3">
        <v>18.24</v>
      </c>
      <c r="M350" s="3">
        <v>19.15</v>
      </c>
      <c r="N350" s="3">
        <v>37.99</v>
      </c>
      <c r="O350" s="2" t="s">
        <v>95</v>
      </c>
      <c r="P350" s="2" t="s">
        <v>129</v>
      </c>
      <c r="Q350" s="2" t="s">
        <v>97</v>
      </c>
      <c r="R350" s="2" t="s">
        <v>98</v>
      </c>
      <c r="S350" s="2" t="s">
        <v>1273</v>
      </c>
      <c r="T350" s="2" t="s">
        <v>98</v>
      </c>
      <c r="U350" s="2" t="s">
        <v>100</v>
      </c>
      <c r="V350" s="2" t="s">
        <v>1277</v>
      </c>
      <c r="W350" s="2" t="s">
        <v>335</v>
      </c>
      <c r="X350" s="2" t="s">
        <v>372</v>
      </c>
      <c r="Y350" s="2" t="s">
        <v>104</v>
      </c>
      <c r="Z350" s="4">
        <v>486</v>
      </c>
      <c r="AA350" s="4">
        <f>=ROUNDDOWN(11.5714285714286,0)</f>
      </c>
      <c r="AB350" s="5">
        <v>42</v>
      </c>
      <c r="AC350" s="2" t="s">
        <v>224</v>
      </c>
      <c r="AD350" s="4">
        <v>880</v>
      </c>
      <c r="AE350" s="4">
        <v>880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29</v>
      </c>
      <c r="AQ350" s="8">
        <v>572.75</v>
      </c>
      <c r="AR350" s="4">
        <v>118</v>
      </c>
      <c r="AS350" s="8">
        <v>1990.66</v>
      </c>
      <c r="AT350" s="7">
        <v>-0.7542</v>
      </c>
      <c r="AU350" s="7">
        <v>-0.7123</v>
      </c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0.5412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517</v>
      </c>
      <c r="BK350" s="8">
        <v>9414.71</v>
      </c>
      <c r="BL350" s="2" t="s">
        <v>1278</v>
      </c>
      <c r="BM350" s="7">
        <v>0.0561</v>
      </c>
      <c r="BN350" s="7">
        <v>0.0608</v>
      </c>
      <c r="BO350" s="4">
        <v>29</v>
      </c>
      <c r="BP350" s="8">
        <v>572.75</v>
      </c>
      <c r="BQ350" s="4">
        <v>118</v>
      </c>
      <c r="BR350" s="8">
        <v>1990.66</v>
      </c>
      <c r="BS350" s="7">
        <v>-0.7542</v>
      </c>
      <c r="BT350" s="7">
        <v>-0.7123</v>
      </c>
      <c r="BU350" s="2" t="s">
        <v>107</v>
      </c>
      <c r="BV350" s="2" t="s">
        <v>108</v>
      </c>
      <c r="BW350" s="2" t="s">
        <v>1279</v>
      </c>
      <c r="BX350" s="2" t="s">
        <v>1280</v>
      </c>
      <c r="BY350" s="2" t="s">
        <v>111</v>
      </c>
    </row>
    <row r="351">
      <c r="A351" s="2" t="s">
        <v>1281</v>
      </c>
      <c r="B351" s="2" t="s">
        <v>86</v>
      </c>
      <c r="C351" s="2" t="s">
        <v>87</v>
      </c>
      <c r="D351" s="2" t="s">
        <v>88</v>
      </c>
      <c r="E351" s="2" t="s">
        <v>1214</v>
      </c>
      <c r="F351" s="2" t="s">
        <v>1269</v>
      </c>
      <c r="G351" s="2" t="s">
        <v>1270</v>
      </c>
      <c r="H351" s="2" t="s">
        <v>1271</v>
      </c>
      <c r="I351" s="2" t="s">
        <v>1272</v>
      </c>
      <c r="J351" s="2" t="s">
        <v>113</v>
      </c>
      <c r="K351" s="2" t="s">
        <v>94</v>
      </c>
      <c r="L351" s="3">
        <v>19.35</v>
      </c>
      <c r="M351" s="3">
        <v>20.32</v>
      </c>
      <c r="N351" s="3">
        <v>42.99</v>
      </c>
      <c r="O351" s="2" t="s">
        <v>95</v>
      </c>
      <c r="P351" s="2" t="s">
        <v>129</v>
      </c>
      <c r="Q351" s="2" t="s">
        <v>97</v>
      </c>
      <c r="R351" s="2" t="s">
        <v>98</v>
      </c>
      <c r="S351" s="2" t="s">
        <v>1273</v>
      </c>
      <c r="T351" s="2" t="s">
        <v>98</v>
      </c>
      <c r="U351" s="2" t="s">
        <v>100</v>
      </c>
      <c r="V351" s="2" t="s">
        <v>482</v>
      </c>
      <c r="W351" s="2" t="s">
        <v>335</v>
      </c>
      <c r="X351" s="2" t="s">
        <v>372</v>
      </c>
      <c r="Y351" s="2" t="s">
        <v>104</v>
      </c>
      <c r="Z351" s="4">
        <v>323</v>
      </c>
      <c r="AA351" s="4">
        <f>=ROUNDDOWN(23.0714285714286,0)</f>
      </c>
      <c r="AB351" s="5">
        <v>14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8</v>
      </c>
      <c r="AQ351" s="8">
        <v>172</v>
      </c>
      <c r="AR351" s="4">
        <v>188</v>
      </c>
      <c r="AS351" s="8">
        <v>3359.56</v>
      </c>
      <c r="AT351" s="7">
        <v>-0.9574</v>
      </c>
      <c r="AU351" s="7">
        <v>-0.9488</v>
      </c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0.1625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197</v>
      </c>
      <c r="BK351" s="8">
        <v>3976.08</v>
      </c>
      <c r="BL351" s="2" t="s">
        <v>1282</v>
      </c>
      <c r="BM351" s="7">
        <v>0.0406</v>
      </c>
      <c r="BN351" s="7">
        <v>0.0433</v>
      </c>
      <c r="BO351" s="4">
        <v>8</v>
      </c>
      <c r="BP351" s="8">
        <v>172</v>
      </c>
      <c r="BQ351" s="4">
        <v>188</v>
      </c>
      <c r="BR351" s="8">
        <v>3359.56</v>
      </c>
      <c r="BS351" s="7">
        <v>-0.9574</v>
      </c>
      <c r="BT351" s="7">
        <v>-0.9488</v>
      </c>
      <c r="BU351" s="2" t="s">
        <v>107</v>
      </c>
      <c r="BV351" s="2" t="s">
        <v>108</v>
      </c>
      <c r="BW351" s="2" t="s">
        <v>244</v>
      </c>
      <c r="BX351" s="2" t="s">
        <v>475</v>
      </c>
      <c r="BY351" s="2" t="s">
        <v>111</v>
      </c>
    </row>
    <row r="352">
      <c r="A352" s="2" t="s">
        <v>1283</v>
      </c>
      <c r="B352" s="2" t="s">
        <v>86</v>
      </c>
      <c r="C352" s="2" t="s">
        <v>87</v>
      </c>
      <c r="D352" s="2" t="s">
        <v>88</v>
      </c>
      <c r="E352" s="2" t="s">
        <v>1214</v>
      </c>
      <c r="F352" s="2" t="s">
        <v>1269</v>
      </c>
      <c r="G352" s="2" t="s">
        <v>1270</v>
      </c>
      <c r="H352" s="2" t="s">
        <v>1271</v>
      </c>
      <c r="I352" s="2" t="s">
        <v>1272</v>
      </c>
      <c r="J352" s="2" t="s">
        <v>331</v>
      </c>
      <c r="K352" s="2" t="s">
        <v>458</v>
      </c>
      <c r="L352" s="3">
        <v>14.85</v>
      </c>
      <c r="M352" s="3">
        <v>15.59</v>
      </c>
      <c r="N352" s="3">
        <v>32.99</v>
      </c>
      <c r="O352" s="2" t="s">
        <v>95</v>
      </c>
      <c r="P352" s="2" t="s">
        <v>150</v>
      </c>
      <c r="Q352" s="2" t="s">
        <v>97</v>
      </c>
      <c r="R352" s="2" t="s">
        <v>98</v>
      </c>
      <c r="S352" s="2" t="s">
        <v>1284</v>
      </c>
      <c r="T352" s="2" t="s">
        <v>98</v>
      </c>
      <c r="U352" s="2" t="s">
        <v>100</v>
      </c>
      <c r="V352" s="2" t="s">
        <v>1277</v>
      </c>
      <c r="W352" s="2" t="s">
        <v>335</v>
      </c>
      <c r="X352" s="2" t="s">
        <v>372</v>
      </c>
      <c r="Y352" s="2" t="s">
        <v>104</v>
      </c>
      <c r="Z352" s="4">
        <v>13</v>
      </c>
      <c r="AA352" s="4">
        <f>=ROUNDDOWN(1.625,0)</f>
      </c>
      <c r="AB352" s="5">
        <v>8</v>
      </c>
      <c r="AC352" s="2" t="s">
        <v>376</v>
      </c>
      <c r="AD352" s="4">
        <v>212</v>
      </c>
      <c r="AE352" s="4">
        <v>212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15</v>
      </c>
      <c r="AQ352" s="8">
        <v>247.5</v>
      </c>
      <c r="AR352" s="4">
        <v>138</v>
      </c>
      <c r="AS352" s="8">
        <v>1834.02</v>
      </c>
      <c r="AT352" s="7">
        <v>-0.8913</v>
      </c>
      <c r="AU352" s="7">
        <v>-0.8651</v>
      </c>
      <c r="AV352" s="4">
        <v>35</v>
      </c>
      <c r="AW352" s="8">
        <v>660</v>
      </c>
      <c r="AX352" s="4">
        <v>334</v>
      </c>
      <c r="AY352" s="8">
        <v>5255.54</v>
      </c>
      <c r="AZ352" s="7">
        <v>-0.8952</v>
      </c>
      <c r="BA352" s="7">
        <v>-0.8744</v>
      </c>
      <c r="BB352" s="7">
        <v>0.375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0.3841</v>
      </c>
      <c r="BJ352" s="4">
        <v>113</v>
      </c>
      <c r="BK352" s="8">
        <v>1624.18</v>
      </c>
      <c r="BL352" s="2" t="s">
        <v>362</v>
      </c>
      <c r="BM352" s="7">
        <v>0.1327</v>
      </c>
      <c r="BN352" s="7">
        <v>0.1524</v>
      </c>
      <c r="BO352" s="4">
        <v>15</v>
      </c>
      <c r="BP352" s="8">
        <v>247.5</v>
      </c>
      <c r="BQ352" s="4">
        <v>138</v>
      </c>
      <c r="BR352" s="8">
        <v>1834.02</v>
      </c>
      <c r="BS352" s="7">
        <v>-0.8913</v>
      </c>
      <c r="BT352" s="7">
        <v>-0.8651</v>
      </c>
      <c r="BU352" s="2" t="s">
        <v>107</v>
      </c>
      <c r="BV352" s="2" t="s">
        <v>108</v>
      </c>
      <c r="BW352" s="2" t="s">
        <v>244</v>
      </c>
      <c r="BX352" s="2" t="s">
        <v>1285</v>
      </c>
      <c r="BY352" s="2" t="s">
        <v>111</v>
      </c>
    </row>
    <row r="353">
      <c r="A353" s="2" t="s">
        <v>1286</v>
      </c>
      <c r="B353" s="2" t="s">
        <v>86</v>
      </c>
      <c r="C353" s="2" t="s">
        <v>87</v>
      </c>
      <c r="D353" s="2" t="s">
        <v>88</v>
      </c>
      <c r="E353" s="2" t="s">
        <v>1214</v>
      </c>
      <c r="F353" s="2" t="s">
        <v>1269</v>
      </c>
      <c r="G353" s="2" t="s">
        <v>1270</v>
      </c>
      <c r="H353" s="2" t="s">
        <v>1271</v>
      </c>
      <c r="I353" s="2" t="s">
        <v>1272</v>
      </c>
      <c r="J353" s="2" t="s">
        <v>93</v>
      </c>
      <c r="K353" s="2" t="s">
        <v>458</v>
      </c>
      <c r="L353" s="3">
        <v>18.24</v>
      </c>
      <c r="M353" s="3">
        <v>19.15</v>
      </c>
      <c r="N353" s="3">
        <v>37.99</v>
      </c>
      <c r="O353" s="2" t="s">
        <v>95</v>
      </c>
      <c r="P353" s="2" t="s">
        <v>150</v>
      </c>
      <c r="Q353" s="2" t="s">
        <v>97</v>
      </c>
      <c r="R353" s="2" t="s">
        <v>98</v>
      </c>
      <c r="S353" s="2" t="s">
        <v>1284</v>
      </c>
      <c r="T353" s="2" t="s">
        <v>98</v>
      </c>
      <c r="U353" s="2" t="s">
        <v>100</v>
      </c>
      <c r="V353" s="2" t="s">
        <v>1277</v>
      </c>
      <c r="W353" s="2" t="s">
        <v>335</v>
      </c>
      <c r="X353" s="2" t="s">
        <v>372</v>
      </c>
      <c r="Y353" s="2" t="s">
        <v>104</v>
      </c>
      <c r="Z353" s="4">
        <v>166</v>
      </c>
      <c r="AA353" s="4">
        <f>=ROUNDDOWN(20.75,0)</f>
      </c>
      <c r="AB353" s="5">
        <v>8</v>
      </c>
      <c r="AC353" s="2" t="s">
        <v>376</v>
      </c>
      <c r="AD353" s="4">
        <v>164</v>
      </c>
      <c r="AE353" s="4">
        <v>164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10</v>
      </c>
      <c r="AQ353" s="8">
        <v>197.5</v>
      </c>
      <c r="AR353" s="4">
        <v>81</v>
      </c>
      <c r="AS353" s="8">
        <v>1366.47</v>
      </c>
      <c r="AT353" s="7">
        <v>-0.8765</v>
      </c>
      <c r="AU353" s="7">
        <v>-0.8555</v>
      </c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0.2992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86</v>
      </c>
      <c r="BK353" s="8">
        <v>1621.74</v>
      </c>
      <c r="BL353" s="2" t="s">
        <v>1287</v>
      </c>
      <c r="BM353" s="7">
        <v>0.1163</v>
      </c>
      <c r="BN353" s="7">
        <v>0.1218</v>
      </c>
      <c r="BO353" s="4">
        <v>10</v>
      </c>
      <c r="BP353" s="8">
        <v>197.5</v>
      </c>
      <c r="BQ353" s="4">
        <v>81</v>
      </c>
      <c r="BR353" s="8">
        <v>1366.47</v>
      </c>
      <c r="BS353" s="7">
        <v>-0.8765</v>
      </c>
      <c r="BT353" s="7">
        <v>-0.8555</v>
      </c>
      <c r="BU353" s="2" t="s">
        <v>107</v>
      </c>
      <c r="BV353" s="2" t="s">
        <v>108</v>
      </c>
      <c r="BW353" s="2" t="s">
        <v>244</v>
      </c>
      <c r="BX353" s="2" t="s">
        <v>1285</v>
      </c>
      <c r="BY353" s="2" t="s">
        <v>111</v>
      </c>
    </row>
    <row r="354">
      <c r="A354" s="2" t="s">
        <v>1288</v>
      </c>
      <c r="B354" s="2" t="s">
        <v>86</v>
      </c>
      <c r="C354" s="2" t="s">
        <v>87</v>
      </c>
      <c r="D354" s="2" t="s">
        <v>88</v>
      </c>
      <c r="E354" s="2" t="s">
        <v>1214</v>
      </c>
      <c r="F354" s="2" t="s">
        <v>1269</v>
      </c>
      <c r="G354" s="2" t="s">
        <v>1270</v>
      </c>
      <c r="H354" s="2" t="s">
        <v>1271</v>
      </c>
      <c r="I354" s="2" t="s">
        <v>1272</v>
      </c>
      <c r="J354" s="2" t="s">
        <v>113</v>
      </c>
      <c r="K354" s="2" t="s">
        <v>458</v>
      </c>
      <c r="L354" s="3">
        <v>19.35</v>
      </c>
      <c r="M354" s="3">
        <v>20.32</v>
      </c>
      <c r="N354" s="3">
        <v>42.99</v>
      </c>
      <c r="O354" s="2" t="s">
        <v>95</v>
      </c>
      <c r="P354" s="2" t="s">
        <v>150</v>
      </c>
      <c r="Q354" s="2" t="s">
        <v>97</v>
      </c>
      <c r="R354" s="2" t="s">
        <v>98</v>
      </c>
      <c r="S354" s="2" t="s">
        <v>1284</v>
      </c>
      <c r="T354" s="2" t="s">
        <v>98</v>
      </c>
      <c r="U354" s="2" t="s">
        <v>100</v>
      </c>
      <c r="V354" s="2" t="s">
        <v>1277</v>
      </c>
      <c r="W354" s="2" t="s">
        <v>335</v>
      </c>
      <c r="X354" s="2" t="s">
        <v>372</v>
      </c>
      <c r="Y354" s="2" t="s">
        <v>104</v>
      </c>
      <c r="Z354" s="4">
        <v>187</v>
      </c>
      <c r="AA354" s="4">
        <f>=ROUNDDOWN(43.4883720930233,0)</f>
      </c>
      <c r="AB354" s="5">
        <v>4.3</v>
      </c>
      <c r="AC354" s="2" t="s">
        <v>98</v>
      </c>
      <c r="AD354" s="4"/>
      <c r="AE354" s="4"/>
      <c r="AF354" s="6">
        <v>65</v>
      </c>
      <c r="AG354" s="6"/>
      <c r="AH354" s="7">
        <v>0.9444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10</v>
      </c>
      <c r="AQ354" s="8">
        <v>215</v>
      </c>
      <c r="AR354" s="4">
        <v>115</v>
      </c>
      <c r="AS354" s="8">
        <v>2055.05</v>
      </c>
      <c r="AT354" s="7">
        <v>-0.913</v>
      </c>
      <c r="AU354" s="7">
        <v>-0.8954</v>
      </c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>
        <v>0.3258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>
        <v>36</v>
      </c>
      <c r="BK354" s="8">
        <v>718.44</v>
      </c>
      <c r="BL354" s="2" t="s">
        <v>351</v>
      </c>
      <c r="BM354" s="7">
        <v>0.2778</v>
      </c>
      <c r="BN354" s="7">
        <v>0.2993</v>
      </c>
      <c r="BO354" s="4">
        <v>10</v>
      </c>
      <c r="BP354" s="8">
        <v>215</v>
      </c>
      <c r="BQ354" s="4">
        <v>115</v>
      </c>
      <c r="BR354" s="8">
        <v>2055.05</v>
      </c>
      <c r="BS354" s="7">
        <v>-0.913</v>
      </c>
      <c r="BT354" s="7">
        <v>-0.8954</v>
      </c>
      <c r="BU354" s="2" t="s">
        <v>107</v>
      </c>
      <c r="BV354" s="2" t="s">
        <v>108</v>
      </c>
      <c r="BW354" s="2" t="s">
        <v>244</v>
      </c>
      <c r="BX354" s="2" t="s">
        <v>1289</v>
      </c>
      <c r="BY354" s="2" t="s">
        <v>111</v>
      </c>
    </row>
    <row r="355">
      <c r="A355" s="2" t="s">
        <v>1290</v>
      </c>
      <c r="B355" s="2" t="s">
        <v>86</v>
      </c>
      <c r="C355" s="2" t="s">
        <v>87</v>
      </c>
      <c r="D355" s="2" t="s">
        <v>88</v>
      </c>
      <c r="E355" s="2" t="s">
        <v>1214</v>
      </c>
      <c r="F355" s="2" t="s">
        <v>1291</v>
      </c>
      <c r="G355" s="2" t="s">
        <v>823</v>
      </c>
      <c r="H355" s="2" t="s">
        <v>1292</v>
      </c>
      <c r="I355" s="2" t="s">
        <v>1293</v>
      </c>
      <c r="J355" s="2" t="s">
        <v>93</v>
      </c>
      <c r="K355" s="2" t="s">
        <v>458</v>
      </c>
      <c r="L355" s="3">
        <v>13.5</v>
      </c>
      <c r="M355" s="3">
        <v>14.18</v>
      </c>
      <c r="N355" s="3">
        <v>29.99</v>
      </c>
      <c r="O355" s="2" t="s">
        <v>95</v>
      </c>
      <c r="P355" s="2" t="s">
        <v>215</v>
      </c>
      <c r="Q355" s="2" t="s">
        <v>97</v>
      </c>
      <c r="R355" s="2" t="s">
        <v>98</v>
      </c>
      <c r="S355" s="2" t="s">
        <v>1294</v>
      </c>
      <c r="T355" s="2" t="s">
        <v>98</v>
      </c>
      <c r="U355" s="2" t="s">
        <v>100</v>
      </c>
      <c r="V355" s="2" t="s">
        <v>762</v>
      </c>
      <c r="W355" s="2" t="s">
        <v>102</v>
      </c>
      <c r="X355" s="2" t="s">
        <v>335</v>
      </c>
      <c r="Y355" s="2" t="s">
        <v>1295</v>
      </c>
      <c r="Z355" s="4">
        <v>526</v>
      </c>
      <c r="AA355" s="4">
        <f>=ROUNDDOWN(30.9411764705882,0)</f>
      </c>
      <c r="AB355" s="5">
        <v>17</v>
      </c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18</v>
      </c>
      <c r="AQ355" s="8">
        <v>253.8</v>
      </c>
      <c r="AR355" s="4">
        <v>582</v>
      </c>
      <c r="AS355" s="8">
        <v>6535.86</v>
      </c>
      <c r="AT355" s="7">
        <v>-0.9691</v>
      </c>
      <c r="AU355" s="7">
        <v>-0.9612</v>
      </c>
      <c r="AV355" s="4">
        <v>39</v>
      </c>
      <c r="AW355" s="8">
        <v>530.75</v>
      </c>
      <c r="AX355" s="4">
        <v>840</v>
      </c>
      <c r="AY355" s="8">
        <v>9033.75</v>
      </c>
      <c r="AZ355" s="7">
        <v>-0.9536</v>
      </c>
      <c r="BA355" s="7">
        <v>-0.9412</v>
      </c>
      <c r="BB355" s="7">
        <v>0.7916</v>
      </c>
      <c r="BC355" s="4">
        <v>83</v>
      </c>
      <c r="BD355" s="8">
        <v>1178.04</v>
      </c>
      <c r="BE355" s="4">
        <v>1002</v>
      </c>
      <c r="BF355" s="8">
        <v>10744.47</v>
      </c>
      <c r="BG355" s="7">
        <v>-0.9172</v>
      </c>
      <c r="BH355" s="7">
        <v>-0.8904</v>
      </c>
      <c r="BI355" s="7">
        <v>0.4505</v>
      </c>
      <c r="BJ355" s="4">
        <v>164</v>
      </c>
      <c r="BK355" s="8">
        <v>2307.83</v>
      </c>
      <c r="BL355" s="2" t="s">
        <v>1296</v>
      </c>
      <c r="BM355" s="7">
        <v>0.1098</v>
      </c>
      <c r="BN355" s="7">
        <v>0.11</v>
      </c>
      <c r="BO355" s="4">
        <v>18</v>
      </c>
      <c r="BP355" s="8">
        <v>253.8</v>
      </c>
      <c r="BQ355" s="4">
        <v>582</v>
      </c>
      <c r="BR355" s="8">
        <v>6535.86</v>
      </c>
      <c r="BS355" s="7">
        <v>-0.9691</v>
      </c>
      <c r="BT355" s="7">
        <v>-0.9612</v>
      </c>
      <c r="BU355" s="2" t="s">
        <v>107</v>
      </c>
      <c r="BV355" s="2" t="s">
        <v>108</v>
      </c>
      <c r="BW355" s="2" t="s">
        <v>570</v>
      </c>
      <c r="BX355" s="2" t="s">
        <v>1297</v>
      </c>
      <c r="BY355" s="2" t="s">
        <v>111</v>
      </c>
    </row>
    <row r="356">
      <c r="A356" s="2" t="s">
        <v>1298</v>
      </c>
      <c r="B356" s="2" t="s">
        <v>86</v>
      </c>
      <c r="C356" s="2" t="s">
        <v>87</v>
      </c>
      <c r="D356" s="2" t="s">
        <v>88</v>
      </c>
      <c r="E356" s="2" t="s">
        <v>1214</v>
      </c>
      <c r="F356" s="2" t="s">
        <v>1291</v>
      </c>
      <c r="G356" s="2" t="s">
        <v>823</v>
      </c>
      <c r="H356" s="2" t="s">
        <v>1292</v>
      </c>
      <c r="I356" s="2" t="s">
        <v>1299</v>
      </c>
      <c r="J356" s="2" t="s">
        <v>93</v>
      </c>
      <c r="K356" s="2" t="s">
        <v>458</v>
      </c>
      <c r="L356" s="3">
        <v>11.34</v>
      </c>
      <c r="M356" s="3">
        <v>11.91</v>
      </c>
      <c r="N356" s="3">
        <v>26.99</v>
      </c>
      <c r="O356" s="2" t="s">
        <v>95</v>
      </c>
      <c r="P356" s="2" t="s">
        <v>215</v>
      </c>
      <c r="Q356" s="2" t="s">
        <v>97</v>
      </c>
      <c r="R356" s="2" t="s">
        <v>98</v>
      </c>
      <c r="S356" s="2" t="s">
        <v>1294</v>
      </c>
      <c r="T356" s="2" t="s">
        <v>98</v>
      </c>
      <c r="U356" s="2" t="s">
        <v>100</v>
      </c>
      <c r="V356" s="2" t="s">
        <v>762</v>
      </c>
      <c r="W356" s="2" t="s">
        <v>102</v>
      </c>
      <c r="X356" s="2" t="s">
        <v>335</v>
      </c>
      <c r="Y356" s="2" t="s">
        <v>1295</v>
      </c>
      <c r="Z356" s="4">
        <v>153</v>
      </c>
      <c r="AA356" s="4">
        <f>=ROUNDDOWN(15.4545454545455,0)</f>
      </c>
      <c r="AB356" s="5">
        <v>9.9</v>
      </c>
      <c r="AC356" s="2" t="s">
        <v>98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14</v>
      </c>
      <c r="AQ356" s="8">
        <v>166.32</v>
      </c>
      <c r="AR356" s="4">
        <v>225</v>
      </c>
      <c r="AS356" s="8">
        <v>2124</v>
      </c>
      <c r="AT356" s="7">
        <v>-0.9378</v>
      </c>
      <c r="AU356" s="7">
        <v>-0.9217</v>
      </c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 t="s">
        <v>98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82</v>
      </c>
      <c r="BK356" s="8">
        <v>948.57</v>
      </c>
      <c r="BL356" s="2" t="s">
        <v>398</v>
      </c>
      <c r="BM356" s="7">
        <v>0.1707</v>
      </c>
      <c r="BN356" s="7">
        <v>0.1753</v>
      </c>
      <c r="BO356" s="4">
        <v>14</v>
      </c>
      <c r="BP356" s="8">
        <v>166.32</v>
      </c>
      <c r="BQ356" s="4">
        <v>225</v>
      </c>
      <c r="BR356" s="8">
        <v>2124</v>
      </c>
      <c r="BS356" s="7">
        <v>-0.9378</v>
      </c>
      <c r="BT356" s="7">
        <v>-0.9217</v>
      </c>
      <c r="BU356" s="2" t="s">
        <v>107</v>
      </c>
      <c r="BV356" s="2" t="s">
        <v>108</v>
      </c>
      <c r="BW356" s="2" t="s">
        <v>570</v>
      </c>
      <c r="BX356" s="2" t="s">
        <v>1300</v>
      </c>
      <c r="BY356" s="2" t="s">
        <v>111</v>
      </c>
    </row>
    <row r="357">
      <c r="A357" s="2" t="s">
        <v>1301</v>
      </c>
      <c r="B357" s="2" t="s">
        <v>86</v>
      </c>
      <c r="C357" s="2" t="s">
        <v>87</v>
      </c>
      <c r="D357" s="2" t="s">
        <v>88</v>
      </c>
      <c r="E357" s="2" t="s">
        <v>1214</v>
      </c>
      <c r="F357" s="2" t="s">
        <v>1291</v>
      </c>
      <c r="G357" s="2" t="s">
        <v>823</v>
      </c>
      <c r="H357" s="2" t="s">
        <v>1292</v>
      </c>
      <c r="I357" s="2" t="s">
        <v>1293</v>
      </c>
      <c r="J357" s="2" t="s">
        <v>113</v>
      </c>
      <c r="K357" s="2" t="s">
        <v>458</v>
      </c>
      <c r="L357" s="3">
        <v>15.75</v>
      </c>
      <c r="M357" s="3">
        <v>16.54</v>
      </c>
      <c r="N357" s="3">
        <v>34.99</v>
      </c>
      <c r="O357" s="2" t="s">
        <v>95</v>
      </c>
      <c r="P357" s="2" t="s">
        <v>215</v>
      </c>
      <c r="Q357" s="2" t="s">
        <v>97</v>
      </c>
      <c r="R357" s="2" t="s">
        <v>98</v>
      </c>
      <c r="S357" s="2" t="s">
        <v>1294</v>
      </c>
      <c r="T357" s="2" t="s">
        <v>98</v>
      </c>
      <c r="U357" s="2" t="s">
        <v>100</v>
      </c>
      <c r="V357" s="2" t="s">
        <v>762</v>
      </c>
      <c r="W357" s="2" t="s">
        <v>102</v>
      </c>
      <c r="X357" s="2" t="s">
        <v>335</v>
      </c>
      <c r="Y357" s="2" t="s">
        <v>1295</v>
      </c>
      <c r="Z357" s="4">
        <v>108</v>
      </c>
      <c r="AA357" s="4">
        <f>=ROUNDDOWN(43.2,0)</f>
      </c>
      <c r="AB357" s="5">
        <v>2.5</v>
      </c>
      <c r="AC357" s="2" t="s">
        <v>98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5</v>
      </c>
      <c r="AQ357" s="8">
        <v>82.25</v>
      </c>
      <c r="AR357" s="4"/>
      <c r="AS357" s="8"/>
      <c r="AT357" s="7"/>
      <c r="AU357" s="7"/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0.2084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31</v>
      </c>
      <c r="BK357" s="8">
        <v>476.49</v>
      </c>
      <c r="BL357" s="2" t="s">
        <v>1302</v>
      </c>
      <c r="BM357" s="7">
        <v>0.1613</v>
      </c>
      <c r="BN357" s="7">
        <v>0.1726</v>
      </c>
      <c r="BO357" s="4">
        <v>5</v>
      </c>
      <c r="BP357" s="8">
        <v>82.25</v>
      </c>
      <c r="BQ357" s="4"/>
      <c r="BR357" s="8"/>
      <c r="BS357" s="7"/>
      <c r="BT357" s="7"/>
      <c r="BU357" s="2" t="s">
        <v>107</v>
      </c>
      <c r="BV357" s="2" t="s">
        <v>108</v>
      </c>
      <c r="BW357" s="2" t="s">
        <v>570</v>
      </c>
      <c r="BX357" s="2" t="s">
        <v>586</v>
      </c>
      <c r="BY357" s="2" t="s">
        <v>111</v>
      </c>
    </row>
    <row r="358">
      <c r="A358" s="2" t="s">
        <v>1303</v>
      </c>
      <c r="B358" s="2" t="s">
        <v>86</v>
      </c>
      <c r="C358" s="2" t="s">
        <v>87</v>
      </c>
      <c r="D358" s="2" t="s">
        <v>88</v>
      </c>
      <c r="E358" s="2" t="s">
        <v>1214</v>
      </c>
      <c r="F358" s="2" t="s">
        <v>1291</v>
      </c>
      <c r="G358" s="2" t="s">
        <v>823</v>
      </c>
      <c r="H358" s="2" t="s">
        <v>1292</v>
      </c>
      <c r="I358" s="2" t="s">
        <v>1299</v>
      </c>
      <c r="J358" s="2" t="s">
        <v>113</v>
      </c>
      <c r="K358" s="2" t="s">
        <v>458</v>
      </c>
      <c r="L358" s="3">
        <v>13.2</v>
      </c>
      <c r="M358" s="3">
        <v>13.86</v>
      </c>
      <c r="N358" s="3">
        <v>32.99</v>
      </c>
      <c r="O358" s="2" t="s">
        <v>95</v>
      </c>
      <c r="P358" s="2" t="s">
        <v>215</v>
      </c>
      <c r="Q358" s="2" t="s">
        <v>97</v>
      </c>
      <c r="R358" s="2" t="s">
        <v>98</v>
      </c>
      <c r="S358" s="2" t="s">
        <v>1294</v>
      </c>
      <c r="T358" s="2" t="s">
        <v>98</v>
      </c>
      <c r="U358" s="2" t="s">
        <v>100</v>
      </c>
      <c r="V358" s="2" t="s">
        <v>762</v>
      </c>
      <c r="W358" s="2" t="s">
        <v>102</v>
      </c>
      <c r="X358" s="2" t="s">
        <v>335</v>
      </c>
      <c r="Y358" s="2" t="s">
        <v>1295</v>
      </c>
      <c r="Z358" s="4">
        <v>106</v>
      </c>
      <c r="AA358" s="4">
        <f>=ROUNDDOWN(176.666666666667,0)</f>
      </c>
      <c r="AB358" s="5">
        <v>0.6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2</v>
      </c>
      <c r="AQ358" s="8">
        <v>28.38</v>
      </c>
      <c r="AR358" s="4">
        <v>33</v>
      </c>
      <c r="AS358" s="8">
        <v>373.89</v>
      </c>
      <c r="AT358" s="7">
        <v>-0.9394</v>
      </c>
      <c r="AU358" s="7">
        <v>-0.9241</v>
      </c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 t="s">
        <v>98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20</v>
      </c>
      <c r="BK358" s="8">
        <v>257.41</v>
      </c>
      <c r="BL358" s="2" t="s">
        <v>1304</v>
      </c>
      <c r="BM358" s="7">
        <v>0.1</v>
      </c>
      <c r="BN358" s="7">
        <v>0.1103</v>
      </c>
      <c r="BO358" s="4">
        <v>2</v>
      </c>
      <c r="BP358" s="8">
        <v>28.38</v>
      </c>
      <c r="BQ358" s="4">
        <v>33</v>
      </c>
      <c r="BR358" s="8">
        <v>373.89</v>
      </c>
      <c r="BS358" s="7">
        <v>-0.9394</v>
      </c>
      <c r="BT358" s="7">
        <v>-0.9241</v>
      </c>
      <c r="BU358" s="2" t="s">
        <v>107</v>
      </c>
      <c r="BV358" s="2" t="s">
        <v>108</v>
      </c>
      <c r="BW358" s="2" t="s">
        <v>570</v>
      </c>
      <c r="BX358" s="2" t="s">
        <v>1305</v>
      </c>
      <c r="BY358" s="2" t="s">
        <v>111</v>
      </c>
    </row>
    <row r="359">
      <c r="A359" s="2" t="s">
        <v>1306</v>
      </c>
      <c r="B359" s="2" t="s">
        <v>86</v>
      </c>
      <c r="C359" s="2" t="s">
        <v>87</v>
      </c>
      <c r="D359" s="2" t="s">
        <v>88</v>
      </c>
      <c r="E359" s="2" t="s">
        <v>1214</v>
      </c>
      <c r="F359" s="2" t="s">
        <v>1291</v>
      </c>
      <c r="G359" s="2" t="s">
        <v>823</v>
      </c>
      <c r="H359" s="2" t="s">
        <v>1292</v>
      </c>
      <c r="I359" s="2" t="s">
        <v>1293</v>
      </c>
      <c r="J359" s="2" t="s">
        <v>93</v>
      </c>
      <c r="K359" s="2" t="s">
        <v>299</v>
      </c>
      <c r="L359" s="3">
        <v>13.5</v>
      </c>
      <c r="M359" s="3">
        <v>14.18</v>
      </c>
      <c r="N359" s="3">
        <v>29.99</v>
      </c>
      <c r="O359" s="2" t="s">
        <v>95</v>
      </c>
      <c r="P359" s="2" t="s">
        <v>215</v>
      </c>
      <c r="Q359" s="2" t="s">
        <v>97</v>
      </c>
      <c r="R359" s="2" t="s">
        <v>98</v>
      </c>
      <c r="S359" s="2" t="s">
        <v>1307</v>
      </c>
      <c r="T359" s="2" t="s">
        <v>98</v>
      </c>
      <c r="U359" s="2" t="s">
        <v>100</v>
      </c>
      <c r="V359" s="2" t="s">
        <v>762</v>
      </c>
      <c r="W359" s="2" t="s">
        <v>102</v>
      </c>
      <c r="X359" s="2" t="s">
        <v>335</v>
      </c>
      <c r="Y359" s="2" t="s">
        <v>1295</v>
      </c>
      <c r="Z359" s="4">
        <v>244</v>
      </c>
      <c r="AA359" s="4">
        <f>=ROUNDDOWN(48.8,0)</f>
      </c>
      <c r="AB359" s="5">
        <v>5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17</v>
      </c>
      <c r="AQ359" s="8">
        <v>239.7</v>
      </c>
      <c r="AR359" s="4"/>
      <c r="AS359" s="8"/>
      <c r="AT359" s="7"/>
      <c r="AU359" s="7"/>
      <c r="AV359" s="4">
        <v>30</v>
      </c>
      <c r="AW359" s="8">
        <v>430.7</v>
      </c>
      <c r="AX359" s="4">
        <v>121</v>
      </c>
      <c r="AY359" s="8">
        <v>1246.19</v>
      </c>
      <c r="AZ359" s="7">
        <v>-0.7521</v>
      </c>
      <c r="BA359" s="7">
        <v>-0.6544</v>
      </c>
      <c r="BB359" s="7">
        <v>0.6945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>
        <v>0.3656</v>
      </c>
      <c r="BJ359" s="4">
        <v>36</v>
      </c>
      <c r="BK359" s="8">
        <v>508.44</v>
      </c>
      <c r="BL359" s="2" t="s">
        <v>1308</v>
      </c>
      <c r="BM359" s="7">
        <v>0.4722</v>
      </c>
      <c r="BN359" s="7">
        <v>0.4714</v>
      </c>
      <c r="BO359" s="4">
        <v>17</v>
      </c>
      <c r="BP359" s="8">
        <v>239.7</v>
      </c>
      <c r="BQ359" s="4"/>
      <c r="BR359" s="8"/>
      <c r="BS359" s="7"/>
      <c r="BT359" s="7"/>
      <c r="BU359" s="2" t="s">
        <v>107</v>
      </c>
      <c r="BV359" s="2" t="s">
        <v>108</v>
      </c>
      <c r="BW359" s="2" t="s">
        <v>570</v>
      </c>
      <c r="BX359" s="2" t="s">
        <v>1309</v>
      </c>
      <c r="BY359" s="2" t="s">
        <v>111</v>
      </c>
    </row>
    <row r="360">
      <c r="A360" s="2" t="s">
        <v>1310</v>
      </c>
      <c r="B360" s="2" t="s">
        <v>86</v>
      </c>
      <c r="C360" s="2" t="s">
        <v>87</v>
      </c>
      <c r="D360" s="2" t="s">
        <v>88</v>
      </c>
      <c r="E360" s="2" t="s">
        <v>1214</v>
      </c>
      <c r="F360" s="2" t="s">
        <v>1291</v>
      </c>
      <c r="G360" s="2" t="s">
        <v>823</v>
      </c>
      <c r="H360" s="2" t="s">
        <v>1292</v>
      </c>
      <c r="I360" s="2" t="s">
        <v>1299</v>
      </c>
      <c r="J360" s="2" t="s">
        <v>93</v>
      </c>
      <c r="K360" s="2" t="s">
        <v>299</v>
      </c>
      <c r="L360" s="3">
        <v>11.34</v>
      </c>
      <c r="M360" s="3">
        <v>11.91</v>
      </c>
      <c r="N360" s="3">
        <v>26.99</v>
      </c>
      <c r="O360" s="2" t="s">
        <v>95</v>
      </c>
      <c r="P360" s="2" t="s">
        <v>215</v>
      </c>
      <c r="Q360" s="2" t="s">
        <v>97</v>
      </c>
      <c r="R360" s="2" t="s">
        <v>98</v>
      </c>
      <c r="S360" s="2" t="s">
        <v>1307</v>
      </c>
      <c r="T360" s="2" t="s">
        <v>98</v>
      </c>
      <c r="U360" s="2" t="s">
        <v>100</v>
      </c>
      <c r="V360" s="2" t="s">
        <v>762</v>
      </c>
      <c r="W360" s="2" t="s">
        <v>102</v>
      </c>
      <c r="X360" s="2" t="s">
        <v>335</v>
      </c>
      <c r="Y360" s="2" t="s">
        <v>1295</v>
      </c>
      <c r="Z360" s="4">
        <v>202</v>
      </c>
      <c r="AA360" s="4">
        <f>=ROUNDDOWN(33.6666666666667,0)</f>
      </c>
      <c r="AB360" s="5">
        <v>6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5</v>
      </c>
      <c r="AQ360" s="8">
        <v>59.4</v>
      </c>
      <c r="AR360" s="4">
        <v>66</v>
      </c>
      <c r="AS360" s="8">
        <v>623.04</v>
      </c>
      <c r="AT360" s="7">
        <v>-0.9242</v>
      </c>
      <c r="AU360" s="7">
        <v>-0.9047</v>
      </c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 t="s">
        <v>98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80</v>
      </c>
      <c r="BK360" s="8">
        <v>906.65</v>
      </c>
      <c r="BL360" s="2" t="s">
        <v>1311</v>
      </c>
      <c r="BM360" s="7">
        <v>0.0625</v>
      </c>
      <c r="BN360" s="7">
        <v>0.0655</v>
      </c>
      <c r="BO360" s="4">
        <v>5</v>
      </c>
      <c r="BP360" s="8">
        <v>59.4</v>
      </c>
      <c r="BQ360" s="4">
        <v>66</v>
      </c>
      <c r="BR360" s="8">
        <v>623.04</v>
      </c>
      <c r="BS360" s="7">
        <v>-0.9242</v>
      </c>
      <c r="BT360" s="7">
        <v>-0.9047</v>
      </c>
      <c r="BU360" s="2" t="s">
        <v>107</v>
      </c>
      <c r="BV360" s="2" t="s">
        <v>108</v>
      </c>
      <c r="BW360" s="2" t="s">
        <v>570</v>
      </c>
      <c r="BX360" s="2" t="s">
        <v>1312</v>
      </c>
      <c r="BY360" s="2" t="s">
        <v>111</v>
      </c>
    </row>
    <row r="361">
      <c r="A361" s="2" t="s">
        <v>1313</v>
      </c>
      <c r="B361" s="2" t="s">
        <v>86</v>
      </c>
      <c r="C361" s="2" t="s">
        <v>87</v>
      </c>
      <c r="D361" s="2" t="s">
        <v>88</v>
      </c>
      <c r="E361" s="2" t="s">
        <v>1214</v>
      </c>
      <c r="F361" s="2" t="s">
        <v>1291</v>
      </c>
      <c r="G361" s="2" t="s">
        <v>823</v>
      </c>
      <c r="H361" s="2" t="s">
        <v>1292</v>
      </c>
      <c r="I361" s="2" t="s">
        <v>1293</v>
      </c>
      <c r="J361" s="2" t="s">
        <v>113</v>
      </c>
      <c r="K361" s="2" t="s">
        <v>299</v>
      </c>
      <c r="L361" s="3">
        <v>15.75</v>
      </c>
      <c r="M361" s="3">
        <v>16.54</v>
      </c>
      <c r="N361" s="3">
        <v>34.99</v>
      </c>
      <c r="O361" s="2" t="s">
        <v>95</v>
      </c>
      <c r="P361" s="2" t="s">
        <v>215</v>
      </c>
      <c r="Q361" s="2" t="s">
        <v>97</v>
      </c>
      <c r="R361" s="2" t="s">
        <v>98</v>
      </c>
      <c r="S361" s="2" t="s">
        <v>1307</v>
      </c>
      <c r="T361" s="2" t="s">
        <v>98</v>
      </c>
      <c r="U361" s="2" t="s">
        <v>100</v>
      </c>
      <c r="V361" s="2" t="s">
        <v>762</v>
      </c>
      <c r="W361" s="2" t="s">
        <v>102</v>
      </c>
      <c r="X361" s="2" t="s">
        <v>335</v>
      </c>
      <c r="Y361" s="2" t="s">
        <v>1295</v>
      </c>
      <c r="Z361" s="4">
        <v>102</v>
      </c>
      <c r="AA361" s="4">
        <f>=ROUNDDOWN(34,0)</f>
      </c>
      <c r="AB361" s="5">
        <v>3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8</v>
      </c>
      <c r="AQ361" s="8">
        <v>131.6</v>
      </c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0.3055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20</v>
      </c>
      <c r="BK361" s="8">
        <v>331.84</v>
      </c>
      <c r="BL361" s="2" t="s">
        <v>673</v>
      </c>
      <c r="BM361" s="7">
        <v>0.4</v>
      </c>
      <c r="BN361" s="7">
        <v>0.3966</v>
      </c>
      <c r="BO361" s="4">
        <v>8</v>
      </c>
      <c r="BP361" s="8">
        <v>131.6</v>
      </c>
      <c r="BQ361" s="4"/>
      <c r="BR361" s="8"/>
      <c r="BS361" s="7"/>
      <c r="BT361" s="7"/>
      <c r="BU361" s="2" t="s">
        <v>107</v>
      </c>
      <c r="BV361" s="2" t="s">
        <v>108</v>
      </c>
      <c r="BW361" s="2" t="s">
        <v>570</v>
      </c>
      <c r="BX361" s="2" t="s">
        <v>709</v>
      </c>
      <c r="BY361" s="2" t="s">
        <v>111</v>
      </c>
    </row>
    <row r="362">
      <c r="A362" s="2" t="s">
        <v>1314</v>
      </c>
      <c r="B362" s="2" t="s">
        <v>86</v>
      </c>
      <c r="C362" s="2" t="s">
        <v>87</v>
      </c>
      <c r="D362" s="2" t="s">
        <v>88</v>
      </c>
      <c r="E362" s="2" t="s">
        <v>1214</v>
      </c>
      <c r="F362" s="2" t="s">
        <v>1291</v>
      </c>
      <c r="G362" s="2" t="s">
        <v>823</v>
      </c>
      <c r="H362" s="2" t="s">
        <v>1292</v>
      </c>
      <c r="I362" s="2" t="s">
        <v>1299</v>
      </c>
      <c r="J362" s="2" t="s">
        <v>113</v>
      </c>
      <c r="K362" s="2" t="s">
        <v>299</v>
      </c>
      <c r="L362" s="3">
        <v>13.2</v>
      </c>
      <c r="M362" s="3">
        <v>13.86</v>
      </c>
      <c r="N362" s="3">
        <v>32.99</v>
      </c>
      <c r="O362" s="2" t="s">
        <v>95</v>
      </c>
      <c r="P362" s="2" t="s">
        <v>215</v>
      </c>
      <c r="Q362" s="2" t="s">
        <v>97</v>
      </c>
      <c r="R362" s="2" t="s">
        <v>98</v>
      </c>
      <c r="S362" s="2" t="s">
        <v>1307</v>
      </c>
      <c r="T362" s="2" t="s">
        <v>98</v>
      </c>
      <c r="U362" s="2" t="s">
        <v>100</v>
      </c>
      <c r="V362" s="2" t="s">
        <v>762</v>
      </c>
      <c r="W362" s="2" t="s">
        <v>102</v>
      </c>
      <c r="X362" s="2" t="s">
        <v>335</v>
      </c>
      <c r="Y362" s="2" t="s">
        <v>1295</v>
      </c>
      <c r="Z362" s="4">
        <v>292</v>
      </c>
      <c r="AA362" s="4">
        <f>=ROUNDDOWN(1460,0)</f>
      </c>
      <c r="AB362" s="5">
        <v>0.2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>
        <v>55</v>
      </c>
      <c r="AS362" s="8">
        <v>623.15</v>
      </c>
      <c r="AT362" s="7">
        <v>-1</v>
      </c>
      <c r="AU362" s="7">
        <v>-1</v>
      </c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 t="s">
        <v>98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29</v>
      </c>
      <c r="BK362" s="8">
        <v>374.74</v>
      </c>
      <c r="BL362" s="2" t="s">
        <v>1315</v>
      </c>
      <c r="BM362" s="7"/>
      <c r="BN362" s="7"/>
      <c r="BO362" s="4"/>
      <c r="BP362" s="8"/>
      <c r="BQ362" s="4">
        <v>55</v>
      </c>
      <c r="BR362" s="8">
        <v>623.15</v>
      </c>
      <c r="BS362" s="7">
        <v>-1</v>
      </c>
      <c r="BT362" s="7">
        <v>-1</v>
      </c>
      <c r="BU362" s="2" t="s">
        <v>107</v>
      </c>
      <c r="BV362" s="2" t="s">
        <v>108</v>
      </c>
      <c r="BW362" s="2" t="s">
        <v>570</v>
      </c>
      <c r="BX362" s="2" t="s">
        <v>1316</v>
      </c>
      <c r="BY362" s="2" t="s">
        <v>111</v>
      </c>
    </row>
    <row r="363">
      <c r="A363" s="2" t="s">
        <v>1317</v>
      </c>
      <c r="B363" s="2" t="s">
        <v>86</v>
      </c>
      <c r="C363" s="2" t="s">
        <v>87</v>
      </c>
      <c r="D363" s="2" t="s">
        <v>88</v>
      </c>
      <c r="E363" s="2" t="s">
        <v>1214</v>
      </c>
      <c r="F363" s="2" t="s">
        <v>1291</v>
      </c>
      <c r="G363" s="2" t="s">
        <v>823</v>
      </c>
      <c r="H363" s="2" t="s">
        <v>1292</v>
      </c>
      <c r="I363" s="2" t="s">
        <v>1299</v>
      </c>
      <c r="J363" s="2" t="s">
        <v>93</v>
      </c>
      <c r="K363" s="2" t="s">
        <v>94</v>
      </c>
      <c r="L363" s="3">
        <v>11.34</v>
      </c>
      <c r="M363" s="3">
        <v>11.91</v>
      </c>
      <c r="N363" s="3">
        <v>26.99</v>
      </c>
      <c r="O363" s="2" t="s">
        <v>95</v>
      </c>
      <c r="P363" s="2" t="s">
        <v>215</v>
      </c>
      <c r="Q363" s="2" t="s">
        <v>97</v>
      </c>
      <c r="R363" s="2" t="s">
        <v>98</v>
      </c>
      <c r="S363" s="2" t="s">
        <v>1318</v>
      </c>
      <c r="T363" s="2" t="s">
        <v>98</v>
      </c>
      <c r="U363" s="2" t="s">
        <v>100</v>
      </c>
      <c r="V363" s="2" t="s">
        <v>762</v>
      </c>
      <c r="W363" s="2" t="s">
        <v>102</v>
      </c>
      <c r="X363" s="2" t="s">
        <v>335</v>
      </c>
      <c r="Y363" s="2" t="s">
        <v>1295</v>
      </c>
      <c r="Z363" s="4">
        <v>140</v>
      </c>
      <c r="AA363" s="4">
        <f>=ROUNDDOWN(35,0)</f>
      </c>
      <c r="AB363" s="5">
        <v>4</v>
      </c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3</v>
      </c>
      <c r="AQ363" s="8">
        <v>35.64</v>
      </c>
      <c r="AR363" s="4"/>
      <c r="AS363" s="8"/>
      <c r="AT363" s="7"/>
      <c r="AU363" s="7"/>
      <c r="AV363" s="4">
        <v>14</v>
      </c>
      <c r="AW363" s="8">
        <v>216.59</v>
      </c>
      <c r="AX363" s="4">
        <v>41</v>
      </c>
      <c r="AY363" s="8">
        <v>464.53</v>
      </c>
      <c r="AZ363" s="7">
        <v>-0.6585</v>
      </c>
      <c r="BA363" s="7">
        <v>-0.5337</v>
      </c>
      <c r="BB363" s="7">
        <v>0.1646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0.1839</v>
      </c>
      <c r="BJ363" s="4">
        <v>65</v>
      </c>
      <c r="BK363" s="8">
        <v>693.09</v>
      </c>
      <c r="BL363" s="2" t="s">
        <v>398</v>
      </c>
      <c r="BM363" s="7">
        <v>0.0462</v>
      </c>
      <c r="BN363" s="7">
        <v>0.0514</v>
      </c>
      <c r="BO363" s="4">
        <v>3</v>
      </c>
      <c r="BP363" s="8">
        <v>35.64</v>
      </c>
      <c r="BQ363" s="4"/>
      <c r="BR363" s="8"/>
      <c r="BS363" s="7"/>
      <c r="BT363" s="7"/>
      <c r="BU363" s="2" t="s">
        <v>107</v>
      </c>
      <c r="BV363" s="2" t="s">
        <v>108</v>
      </c>
      <c r="BW363" s="2" t="s">
        <v>570</v>
      </c>
      <c r="BX363" s="2" t="s">
        <v>1312</v>
      </c>
      <c r="BY363" s="2" t="s">
        <v>111</v>
      </c>
    </row>
    <row r="364">
      <c r="A364" s="2" t="s">
        <v>1319</v>
      </c>
      <c r="B364" s="2" t="s">
        <v>86</v>
      </c>
      <c r="C364" s="2" t="s">
        <v>87</v>
      </c>
      <c r="D364" s="2" t="s">
        <v>88</v>
      </c>
      <c r="E364" s="2" t="s">
        <v>1214</v>
      </c>
      <c r="F364" s="2" t="s">
        <v>1291</v>
      </c>
      <c r="G364" s="2" t="s">
        <v>823</v>
      </c>
      <c r="H364" s="2" t="s">
        <v>1292</v>
      </c>
      <c r="I364" s="2" t="s">
        <v>1293</v>
      </c>
      <c r="J364" s="2" t="s">
        <v>113</v>
      </c>
      <c r="K364" s="2" t="s">
        <v>94</v>
      </c>
      <c r="L364" s="3">
        <v>15.75</v>
      </c>
      <c r="M364" s="3">
        <v>16.54</v>
      </c>
      <c r="N364" s="3">
        <v>34.99</v>
      </c>
      <c r="O364" s="2" t="s">
        <v>241</v>
      </c>
      <c r="P364" s="2" t="s">
        <v>215</v>
      </c>
      <c r="Q364" s="2" t="s">
        <v>97</v>
      </c>
      <c r="R364" s="2" t="s">
        <v>98</v>
      </c>
      <c r="S364" s="2" t="s">
        <v>1318</v>
      </c>
      <c r="T364" s="2" t="s">
        <v>98</v>
      </c>
      <c r="U364" s="2" t="s">
        <v>100</v>
      </c>
      <c r="V364" s="2" t="s">
        <v>762</v>
      </c>
      <c r="W364" s="2" t="s">
        <v>102</v>
      </c>
      <c r="X364" s="2" t="s">
        <v>335</v>
      </c>
      <c r="Y364" s="2" t="s">
        <v>1295</v>
      </c>
      <c r="Z364" s="4">
        <v>85</v>
      </c>
      <c r="AA364" s="4">
        <f>=ROUNDDOWN({0},0)</f>
      </c>
      <c r="AB364" s="5"/>
      <c r="AC364" s="2" t="s">
        <v>98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11</v>
      </c>
      <c r="AQ364" s="8">
        <v>180.95</v>
      </c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0.8354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29</v>
      </c>
      <c r="BK364" s="8">
        <v>470.5</v>
      </c>
      <c r="BL364" s="2" t="s">
        <v>1320</v>
      </c>
      <c r="BM364" s="7">
        <v>0.3793</v>
      </c>
      <c r="BN364" s="7">
        <v>0.3846</v>
      </c>
      <c r="BO364" s="4">
        <v>11</v>
      </c>
      <c r="BP364" s="8">
        <v>180.95</v>
      </c>
      <c r="BQ364" s="4"/>
      <c r="BR364" s="8"/>
      <c r="BS364" s="7"/>
      <c r="BT364" s="7"/>
      <c r="BU364" s="2" t="s">
        <v>107</v>
      </c>
      <c r="BV364" s="2" t="s">
        <v>108</v>
      </c>
      <c r="BW364" s="2" t="s">
        <v>570</v>
      </c>
      <c r="BX364" s="2" t="s">
        <v>1321</v>
      </c>
      <c r="BY364" s="2" t="s">
        <v>111</v>
      </c>
    </row>
    <row r="365">
      <c r="A365" s="2" t="s">
        <v>1322</v>
      </c>
      <c r="B365" s="2" t="s">
        <v>86</v>
      </c>
      <c r="C365" s="2" t="s">
        <v>87</v>
      </c>
      <c r="D365" s="2" t="s">
        <v>88</v>
      </c>
      <c r="E365" s="2" t="s">
        <v>1214</v>
      </c>
      <c r="F365" s="2" t="s">
        <v>1291</v>
      </c>
      <c r="G365" s="2" t="s">
        <v>823</v>
      </c>
      <c r="H365" s="2" t="s">
        <v>1292</v>
      </c>
      <c r="I365" s="2" t="s">
        <v>1299</v>
      </c>
      <c r="J365" s="2" t="s">
        <v>113</v>
      </c>
      <c r="K365" s="2" t="s">
        <v>94</v>
      </c>
      <c r="L365" s="3">
        <v>13.2</v>
      </c>
      <c r="M365" s="3">
        <v>13.86</v>
      </c>
      <c r="N365" s="3">
        <v>32.99</v>
      </c>
      <c r="O365" s="2" t="s">
        <v>95</v>
      </c>
      <c r="P365" s="2" t="s">
        <v>215</v>
      </c>
      <c r="Q365" s="2" t="s">
        <v>97</v>
      </c>
      <c r="R365" s="2" t="s">
        <v>98</v>
      </c>
      <c r="S365" s="2" t="s">
        <v>1318</v>
      </c>
      <c r="T365" s="2" t="s">
        <v>98</v>
      </c>
      <c r="U365" s="2" t="s">
        <v>100</v>
      </c>
      <c r="V365" s="2" t="s">
        <v>762</v>
      </c>
      <c r="W365" s="2" t="s">
        <v>102</v>
      </c>
      <c r="X365" s="2" t="s">
        <v>335</v>
      </c>
      <c r="Y365" s="2" t="s">
        <v>1295</v>
      </c>
      <c r="Z365" s="4">
        <v>60</v>
      </c>
      <c r="AA365" s="4">
        <f>=ROUNDDOWN(40,0)</f>
      </c>
      <c r="AB365" s="5">
        <v>1.5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>
        <v>41</v>
      </c>
      <c r="AS365" s="8">
        <v>464.53</v>
      </c>
      <c r="AT365" s="7">
        <v>-1</v>
      </c>
      <c r="AU365" s="7">
        <v>-1</v>
      </c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 t="s">
        <v>98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40</v>
      </c>
      <c r="BK365" s="8">
        <v>538.75</v>
      </c>
      <c r="BL365" s="2" t="s">
        <v>1323</v>
      </c>
      <c r="BM365" s="7"/>
      <c r="BN365" s="7"/>
      <c r="BO365" s="4"/>
      <c r="BP365" s="8"/>
      <c r="BQ365" s="4">
        <v>41</v>
      </c>
      <c r="BR365" s="8">
        <v>464.53</v>
      </c>
      <c r="BS365" s="7">
        <v>-1</v>
      </c>
      <c r="BT365" s="7">
        <v>-1</v>
      </c>
      <c r="BU365" s="2" t="s">
        <v>107</v>
      </c>
      <c r="BV365" s="2" t="s">
        <v>108</v>
      </c>
      <c r="BW365" s="2" t="s">
        <v>570</v>
      </c>
      <c r="BX365" s="2" t="s">
        <v>1324</v>
      </c>
      <c r="BY365" s="2" t="s">
        <v>111</v>
      </c>
    </row>
    <row r="366">
      <c r="A366" s="2" t="s">
        <v>1325</v>
      </c>
      <c r="B366" s="2" t="s">
        <v>86</v>
      </c>
      <c r="C366" s="2" t="s">
        <v>87</v>
      </c>
      <c r="D366" s="2" t="s">
        <v>88</v>
      </c>
      <c r="E366" s="2" t="s">
        <v>1214</v>
      </c>
      <c r="F366" s="2" t="s">
        <v>1291</v>
      </c>
      <c r="G366" s="2" t="s">
        <v>823</v>
      </c>
      <c r="H366" s="2" t="s">
        <v>1292</v>
      </c>
      <c r="I366" s="2" t="s">
        <v>1293</v>
      </c>
      <c r="J366" s="2" t="s">
        <v>93</v>
      </c>
      <c r="K366" s="2" t="s">
        <v>290</v>
      </c>
      <c r="L366" s="3">
        <v>13.5</v>
      </c>
      <c r="M366" s="3">
        <v>14.18</v>
      </c>
      <c r="N366" s="3">
        <v>29.99</v>
      </c>
      <c r="O366" s="2" t="s">
        <v>95</v>
      </c>
      <c r="P366" s="2" t="s">
        <v>215</v>
      </c>
      <c r="Q366" s="2" t="s">
        <v>97</v>
      </c>
      <c r="R366" s="2" t="s">
        <v>98</v>
      </c>
      <c r="S366" s="2" t="s">
        <v>1326</v>
      </c>
      <c r="T366" s="2" t="s">
        <v>98</v>
      </c>
      <c r="U366" s="2" t="s">
        <v>100</v>
      </c>
      <c r="V366" s="2" t="s">
        <v>762</v>
      </c>
      <c r="W366" s="2" t="s">
        <v>102</v>
      </c>
      <c r="X366" s="2" t="s">
        <v>335</v>
      </c>
      <c r="Y366" s="2" t="s">
        <v>1327</v>
      </c>
      <c r="Z366" s="4">
        <v>92</v>
      </c>
      <c r="AA366" s="4">
        <f>=ROUNDDOWN(18.4,0)</f>
      </c>
      <c r="AB366" s="5">
        <v>5</v>
      </c>
      <c r="AC366" s="2" t="s">
        <v>250</v>
      </c>
      <c r="AD366" s="4">
        <v>92</v>
      </c>
      <c r="AE366" s="4">
        <v>156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98</v>
      </c>
      <c r="AW366" s="8" t="s">
        <v>98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 t="s">
        <v>98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 t="s">
        <v>98</v>
      </c>
      <c r="BJ366" s="4">
        <v>61</v>
      </c>
      <c r="BK366" s="8">
        <v>874.73</v>
      </c>
      <c r="BL366" s="2" t="s">
        <v>919</v>
      </c>
      <c r="BM366" s="7"/>
      <c r="BN366" s="7"/>
      <c r="BO366" s="4"/>
      <c r="BP366" s="8"/>
      <c r="BQ366" s="4"/>
      <c r="BR366" s="8"/>
      <c r="BS366" s="7"/>
      <c r="BT366" s="7"/>
      <c r="BU366" s="2" t="s">
        <v>211</v>
      </c>
      <c r="BV366" s="2" t="s">
        <v>95</v>
      </c>
      <c r="BW366" s="2" t="s">
        <v>911</v>
      </c>
      <c r="BX366" s="2" t="s">
        <v>1179</v>
      </c>
      <c r="BY366" s="2" t="s">
        <v>111</v>
      </c>
    </row>
    <row r="367">
      <c r="A367" s="2" t="s">
        <v>1328</v>
      </c>
      <c r="B367" s="2" t="s">
        <v>86</v>
      </c>
      <c r="C367" s="2" t="s">
        <v>87</v>
      </c>
      <c r="D367" s="2" t="s">
        <v>88</v>
      </c>
      <c r="E367" s="2" t="s">
        <v>1214</v>
      </c>
      <c r="F367" s="2" t="s">
        <v>1291</v>
      </c>
      <c r="G367" s="2" t="s">
        <v>823</v>
      </c>
      <c r="H367" s="2" t="s">
        <v>1292</v>
      </c>
      <c r="I367" s="2" t="s">
        <v>1299</v>
      </c>
      <c r="J367" s="2" t="s">
        <v>93</v>
      </c>
      <c r="K367" s="2" t="s">
        <v>290</v>
      </c>
      <c r="L367" s="3">
        <v>11.34</v>
      </c>
      <c r="M367" s="3">
        <v>11.91</v>
      </c>
      <c r="N367" s="3">
        <v>26.99</v>
      </c>
      <c r="O367" s="2" t="s">
        <v>95</v>
      </c>
      <c r="P367" s="2" t="s">
        <v>215</v>
      </c>
      <c r="Q367" s="2" t="s">
        <v>97</v>
      </c>
      <c r="R367" s="2" t="s">
        <v>98</v>
      </c>
      <c r="S367" s="2" t="s">
        <v>1326</v>
      </c>
      <c r="T367" s="2" t="s">
        <v>98</v>
      </c>
      <c r="U367" s="2" t="s">
        <v>100</v>
      </c>
      <c r="V367" s="2" t="s">
        <v>762</v>
      </c>
      <c r="W367" s="2" t="s">
        <v>102</v>
      </c>
      <c r="X367" s="2" t="s">
        <v>335</v>
      </c>
      <c r="Y367" s="2" t="s">
        <v>1327</v>
      </c>
      <c r="Z367" s="4">
        <v>82</v>
      </c>
      <c r="AA367" s="4">
        <f>=ROUNDDOWN(16.4,0)</f>
      </c>
      <c r="AB367" s="5">
        <v>5</v>
      </c>
      <c r="AC367" s="2" t="s">
        <v>250</v>
      </c>
      <c r="AD367" s="4">
        <v>76</v>
      </c>
      <c r="AE367" s="4">
        <v>164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 t="s">
        <v>98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48</v>
      </c>
      <c r="BK367" s="8">
        <v>565.31</v>
      </c>
      <c r="BL367" s="2" t="s">
        <v>910</v>
      </c>
      <c r="BM367" s="7"/>
      <c r="BN367" s="7"/>
      <c r="BO367" s="4"/>
      <c r="BP367" s="8"/>
      <c r="BQ367" s="4"/>
      <c r="BR367" s="8"/>
      <c r="BS367" s="7"/>
      <c r="BT367" s="7"/>
      <c r="BU367" s="2" t="s">
        <v>211</v>
      </c>
      <c r="BV367" s="2" t="s">
        <v>95</v>
      </c>
      <c r="BW367" s="2" t="s">
        <v>911</v>
      </c>
      <c r="BX367" s="2" t="s">
        <v>977</v>
      </c>
      <c r="BY367" s="2" t="s">
        <v>111</v>
      </c>
    </row>
    <row r="368">
      <c r="A368" s="2" t="s">
        <v>1329</v>
      </c>
      <c r="B368" s="2" t="s">
        <v>86</v>
      </c>
      <c r="C368" s="2" t="s">
        <v>87</v>
      </c>
      <c r="D368" s="2" t="s">
        <v>88</v>
      </c>
      <c r="E368" s="2" t="s">
        <v>1214</v>
      </c>
      <c r="F368" s="2" t="s">
        <v>1291</v>
      </c>
      <c r="G368" s="2" t="s">
        <v>823</v>
      </c>
      <c r="H368" s="2" t="s">
        <v>1292</v>
      </c>
      <c r="I368" s="2" t="s">
        <v>1293</v>
      </c>
      <c r="J368" s="2" t="s">
        <v>113</v>
      </c>
      <c r="K368" s="2" t="s">
        <v>290</v>
      </c>
      <c r="L368" s="3">
        <v>15.75</v>
      </c>
      <c r="M368" s="3">
        <v>16.54</v>
      </c>
      <c r="N368" s="3">
        <v>34.99</v>
      </c>
      <c r="O368" s="2" t="s">
        <v>95</v>
      </c>
      <c r="P368" s="2" t="s">
        <v>215</v>
      </c>
      <c r="Q368" s="2" t="s">
        <v>97</v>
      </c>
      <c r="R368" s="2" t="s">
        <v>98</v>
      </c>
      <c r="S368" s="2" t="s">
        <v>1326</v>
      </c>
      <c r="T368" s="2" t="s">
        <v>98</v>
      </c>
      <c r="U368" s="2" t="s">
        <v>100</v>
      </c>
      <c r="V368" s="2" t="s">
        <v>762</v>
      </c>
      <c r="W368" s="2" t="s">
        <v>102</v>
      </c>
      <c r="X368" s="2" t="s">
        <v>335</v>
      </c>
      <c r="Y368" s="2" t="s">
        <v>1327</v>
      </c>
      <c r="Z368" s="4">
        <v>103</v>
      </c>
      <c r="AA368" s="4">
        <f>=ROUNDDOWN(41.2,0)</f>
      </c>
      <c r="AB368" s="5">
        <v>2.5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 t="s">
        <v>98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45</v>
      </c>
      <c r="BK368" s="8">
        <v>742.96</v>
      </c>
      <c r="BL368" s="2" t="s">
        <v>910</v>
      </c>
      <c r="BM368" s="7"/>
      <c r="BN368" s="7"/>
      <c r="BO368" s="4"/>
      <c r="BP368" s="8"/>
      <c r="BQ368" s="4"/>
      <c r="BR368" s="8"/>
      <c r="BS368" s="7"/>
      <c r="BT368" s="7"/>
      <c r="BU368" s="2" t="s">
        <v>211</v>
      </c>
      <c r="BV368" s="2" t="s">
        <v>95</v>
      </c>
      <c r="BW368" s="2" t="s">
        <v>911</v>
      </c>
      <c r="BX368" s="2" t="s">
        <v>98</v>
      </c>
      <c r="BY368" s="2" t="s">
        <v>111</v>
      </c>
    </row>
    <row r="369">
      <c r="A369" s="2" t="s">
        <v>1330</v>
      </c>
      <c r="B369" s="2" t="s">
        <v>86</v>
      </c>
      <c r="C369" s="2" t="s">
        <v>87</v>
      </c>
      <c r="D369" s="2" t="s">
        <v>88</v>
      </c>
      <c r="E369" s="2" t="s">
        <v>1214</v>
      </c>
      <c r="F369" s="2" t="s">
        <v>1291</v>
      </c>
      <c r="G369" s="2" t="s">
        <v>823</v>
      </c>
      <c r="H369" s="2" t="s">
        <v>1292</v>
      </c>
      <c r="I369" s="2" t="s">
        <v>1299</v>
      </c>
      <c r="J369" s="2" t="s">
        <v>113</v>
      </c>
      <c r="K369" s="2" t="s">
        <v>290</v>
      </c>
      <c r="L369" s="3">
        <v>13.2</v>
      </c>
      <c r="M369" s="3">
        <v>13.86</v>
      </c>
      <c r="N369" s="3">
        <v>32.99</v>
      </c>
      <c r="O369" s="2" t="s">
        <v>95</v>
      </c>
      <c r="P369" s="2" t="s">
        <v>215</v>
      </c>
      <c r="Q369" s="2" t="s">
        <v>97</v>
      </c>
      <c r="R369" s="2" t="s">
        <v>98</v>
      </c>
      <c r="S369" s="2" t="s">
        <v>1326</v>
      </c>
      <c r="T369" s="2" t="s">
        <v>98</v>
      </c>
      <c r="U369" s="2" t="s">
        <v>100</v>
      </c>
      <c r="V369" s="2" t="s">
        <v>762</v>
      </c>
      <c r="W369" s="2" t="s">
        <v>102</v>
      </c>
      <c r="X369" s="2" t="s">
        <v>335</v>
      </c>
      <c r="Y369" s="2" t="s">
        <v>1327</v>
      </c>
      <c r="Z369" s="4">
        <v>24</v>
      </c>
      <c r="AA369" s="4">
        <f>=ROUNDDOWN(12,0)</f>
      </c>
      <c r="AB369" s="5">
        <v>2</v>
      </c>
      <c r="AC369" s="2" t="s">
        <v>158</v>
      </c>
      <c r="AD369" s="4">
        <v>32</v>
      </c>
      <c r="AE369" s="4">
        <v>32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 t="s">
        <v>98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29</v>
      </c>
      <c r="BK369" s="8">
        <v>413.9</v>
      </c>
      <c r="BL369" s="2" t="s">
        <v>910</v>
      </c>
      <c r="BM369" s="7"/>
      <c r="BN369" s="7"/>
      <c r="BO369" s="4"/>
      <c r="BP369" s="8"/>
      <c r="BQ369" s="4"/>
      <c r="BR369" s="8"/>
      <c r="BS369" s="7"/>
      <c r="BT369" s="7"/>
      <c r="BU369" s="2" t="s">
        <v>211</v>
      </c>
      <c r="BV369" s="2" t="s">
        <v>95</v>
      </c>
      <c r="BW369" s="2" t="s">
        <v>911</v>
      </c>
      <c r="BX369" s="2" t="s">
        <v>1172</v>
      </c>
      <c r="BY369" s="2" t="s">
        <v>111</v>
      </c>
    </row>
    <row r="370">
      <c r="A370" s="2" t="s">
        <v>1331</v>
      </c>
      <c r="B370" s="2" t="s">
        <v>86</v>
      </c>
      <c r="C370" s="2" t="s">
        <v>87</v>
      </c>
      <c r="D370" s="2" t="s">
        <v>88</v>
      </c>
      <c r="E370" s="2" t="s">
        <v>1214</v>
      </c>
      <c r="F370" s="2" t="s">
        <v>1332</v>
      </c>
      <c r="G370" s="2" t="s">
        <v>1333</v>
      </c>
      <c r="H370" s="2" t="s">
        <v>1334</v>
      </c>
      <c r="I370" s="2" t="s">
        <v>1335</v>
      </c>
      <c r="J370" s="2" t="s">
        <v>348</v>
      </c>
      <c r="K370" s="2" t="s">
        <v>94</v>
      </c>
      <c r="L370" s="3">
        <v>20.25</v>
      </c>
      <c r="M370" s="3">
        <v>21.26</v>
      </c>
      <c r="N370" s="3">
        <v>44.99</v>
      </c>
      <c r="O370" s="2" t="s">
        <v>368</v>
      </c>
      <c r="P370" s="2" t="s">
        <v>215</v>
      </c>
      <c r="Q370" s="2" t="s">
        <v>97</v>
      </c>
      <c r="R370" s="2" t="s">
        <v>98</v>
      </c>
      <c r="S370" s="2" t="s">
        <v>1336</v>
      </c>
      <c r="T370" s="2" t="s">
        <v>98</v>
      </c>
      <c r="U370" s="2" t="s">
        <v>98</v>
      </c>
      <c r="V370" s="2" t="s">
        <v>617</v>
      </c>
      <c r="W370" s="2" t="s">
        <v>102</v>
      </c>
      <c r="X370" s="2" t="s">
        <v>98</v>
      </c>
      <c r="Y370" s="2" t="s">
        <v>1337</v>
      </c>
      <c r="Z370" s="4"/>
      <c r="AA370" s="4">
        <f>=ROUNDDOWN({0},0)</f>
      </c>
      <c r="AB370" s="5"/>
      <c r="AC370" s="2" t="s">
        <v>98</v>
      </c>
      <c r="AD370" s="4"/>
      <c r="AE370" s="4"/>
      <c r="AF370" s="6"/>
      <c r="AG370" s="6"/>
      <c r="AH370" s="7">
        <v>0.3667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58</v>
      </c>
      <c r="AS370" s="8">
        <v>1036.46</v>
      </c>
      <c r="AT370" s="7">
        <v>-1</v>
      </c>
      <c r="AU370" s="7">
        <v>-1</v>
      </c>
      <c r="AV370" s="4">
        <v>20</v>
      </c>
      <c r="AW370" s="8">
        <v>327.5</v>
      </c>
      <c r="AX370" s="4">
        <v>220</v>
      </c>
      <c r="AY370" s="8">
        <v>3189.68</v>
      </c>
      <c r="AZ370" s="7">
        <v>-0.9091</v>
      </c>
      <c r="BA370" s="7">
        <v>-0.8973</v>
      </c>
      <c r="BB370" s="7"/>
      <c r="BC370" s="4">
        <v>66</v>
      </c>
      <c r="BD370" s="8">
        <v>892.98</v>
      </c>
      <c r="BE370" s="4">
        <v>543</v>
      </c>
      <c r="BF370" s="8">
        <v>7544.71</v>
      </c>
      <c r="BG370" s="7">
        <v>-0.8785</v>
      </c>
      <c r="BH370" s="7">
        <v>-0.8816</v>
      </c>
      <c r="BI370" s="7">
        <v>0.3667</v>
      </c>
      <c r="BJ370" s="4"/>
      <c r="BK370" s="8"/>
      <c r="BL370" s="2" t="s">
        <v>1338</v>
      </c>
      <c r="BM370" s="7"/>
      <c r="BN370" s="7"/>
      <c r="BO370" s="4"/>
      <c r="BP370" s="8"/>
      <c r="BQ370" s="4">
        <v>58</v>
      </c>
      <c r="BR370" s="8">
        <v>1036.46</v>
      </c>
      <c r="BS370" s="7">
        <v>-1</v>
      </c>
      <c r="BT370" s="7">
        <v>-1</v>
      </c>
      <c r="BU370" s="2" t="s">
        <v>211</v>
      </c>
      <c r="BV370" s="2" t="s">
        <v>352</v>
      </c>
      <c r="BW370" s="2" t="s">
        <v>244</v>
      </c>
      <c r="BX370" s="2" t="s">
        <v>360</v>
      </c>
      <c r="BY370" s="2" t="s">
        <v>111</v>
      </c>
    </row>
    <row r="371">
      <c r="A371" s="2" t="s">
        <v>1339</v>
      </c>
      <c r="B371" s="2" t="s">
        <v>86</v>
      </c>
      <c r="C371" s="2" t="s">
        <v>87</v>
      </c>
      <c r="D371" s="2" t="s">
        <v>88</v>
      </c>
      <c r="E371" s="2" t="s">
        <v>1214</v>
      </c>
      <c r="F371" s="2" t="s">
        <v>1332</v>
      </c>
      <c r="G371" s="2" t="s">
        <v>1333</v>
      </c>
      <c r="H371" s="2" t="s">
        <v>1334</v>
      </c>
      <c r="I371" s="2" t="s">
        <v>1340</v>
      </c>
      <c r="J371" s="2" t="s">
        <v>93</v>
      </c>
      <c r="K371" s="2" t="s">
        <v>94</v>
      </c>
      <c r="L371" s="3">
        <v>14.1</v>
      </c>
      <c r="M371" s="3">
        <v>14.8</v>
      </c>
      <c r="N371" s="3">
        <v>29.99</v>
      </c>
      <c r="O371" s="2" t="s">
        <v>95</v>
      </c>
      <c r="P371" s="2" t="s">
        <v>150</v>
      </c>
      <c r="Q371" s="2" t="s">
        <v>97</v>
      </c>
      <c r="R371" s="2" t="s">
        <v>98</v>
      </c>
      <c r="S371" s="2" t="s">
        <v>1336</v>
      </c>
      <c r="T371" s="2" t="s">
        <v>98</v>
      </c>
      <c r="U371" s="2" t="s">
        <v>98</v>
      </c>
      <c r="V371" s="2" t="s">
        <v>617</v>
      </c>
      <c r="W371" s="2" t="s">
        <v>102</v>
      </c>
      <c r="X371" s="2" t="s">
        <v>1220</v>
      </c>
      <c r="Y371" s="2" t="s">
        <v>104</v>
      </c>
      <c r="Z371" s="4">
        <v>129</v>
      </c>
      <c r="AA371" s="4">
        <f>=ROUNDDOWN(8.6,0)</f>
      </c>
      <c r="AB371" s="5">
        <v>15</v>
      </c>
      <c r="AC371" s="2" t="s">
        <v>489</v>
      </c>
      <c r="AD371" s="4">
        <v>172</v>
      </c>
      <c r="AE371" s="4">
        <v>424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9</v>
      </c>
      <c r="AQ371" s="8">
        <v>135</v>
      </c>
      <c r="AR371" s="4">
        <v>104</v>
      </c>
      <c r="AS371" s="8">
        <v>1289.6</v>
      </c>
      <c r="AT371" s="7">
        <v>-0.9135</v>
      </c>
      <c r="AU371" s="7">
        <v>-0.8953</v>
      </c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0.4122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203</v>
      </c>
      <c r="BK371" s="8">
        <v>2575.1</v>
      </c>
      <c r="BL371" s="2" t="s">
        <v>1341</v>
      </c>
      <c r="BM371" s="7">
        <v>0.0443</v>
      </c>
      <c r="BN371" s="7">
        <v>0.0524</v>
      </c>
      <c r="BO371" s="4">
        <v>9</v>
      </c>
      <c r="BP371" s="8">
        <v>135</v>
      </c>
      <c r="BQ371" s="4">
        <v>104</v>
      </c>
      <c r="BR371" s="8">
        <v>1289.6</v>
      </c>
      <c r="BS371" s="7">
        <v>-0.9135</v>
      </c>
      <c r="BT371" s="7">
        <v>-0.8953</v>
      </c>
      <c r="BU371" s="2" t="s">
        <v>107</v>
      </c>
      <c r="BV371" s="2" t="s">
        <v>108</v>
      </c>
      <c r="BW371" s="2" t="s">
        <v>1279</v>
      </c>
      <c r="BX371" s="2" t="s">
        <v>184</v>
      </c>
      <c r="BY371" s="2" t="s">
        <v>111</v>
      </c>
    </row>
    <row r="372">
      <c r="A372" s="2" t="s">
        <v>1342</v>
      </c>
      <c r="B372" s="2" t="s">
        <v>86</v>
      </c>
      <c r="C372" s="2" t="s">
        <v>87</v>
      </c>
      <c r="D372" s="2" t="s">
        <v>88</v>
      </c>
      <c r="E372" s="2" t="s">
        <v>1214</v>
      </c>
      <c r="F372" s="2" t="s">
        <v>1332</v>
      </c>
      <c r="G372" s="2" t="s">
        <v>1333</v>
      </c>
      <c r="H372" s="2" t="s">
        <v>1334</v>
      </c>
      <c r="I372" s="2" t="s">
        <v>1340</v>
      </c>
      <c r="J372" s="2" t="s">
        <v>113</v>
      </c>
      <c r="K372" s="2" t="s">
        <v>94</v>
      </c>
      <c r="L372" s="3">
        <v>16.45</v>
      </c>
      <c r="M372" s="3">
        <v>17.27</v>
      </c>
      <c r="N372" s="3">
        <v>34.99</v>
      </c>
      <c r="O372" s="2" t="s">
        <v>95</v>
      </c>
      <c r="P372" s="2" t="s">
        <v>150</v>
      </c>
      <c r="Q372" s="2" t="s">
        <v>97</v>
      </c>
      <c r="R372" s="2" t="s">
        <v>98</v>
      </c>
      <c r="S372" s="2" t="s">
        <v>1336</v>
      </c>
      <c r="T372" s="2" t="s">
        <v>98</v>
      </c>
      <c r="U372" s="2" t="s">
        <v>98</v>
      </c>
      <c r="V372" s="2" t="s">
        <v>617</v>
      </c>
      <c r="W372" s="2" t="s">
        <v>102</v>
      </c>
      <c r="X372" s="2" t="s">
        <v>1220</v>
      </c>
      <c r="Y372" s="2" t="s">
        <v>104</v>
      </c>
      <c r="Z372" s="4">
        <v>114</v>
      </c>
      <c r="AA372" s="4">
        <f>=ROUNDDOWN(20,0)</f>
      </c>
      <c r="AB372" s="5">
        <v>5.7</v>
      </c>
      <c r="AC372" s="2" t="s">
        <v>309</v>
      </c>
      <c r="AD372" s="4">
        <v>88</v>
      </c>
      <c r="AE372" s="4">
        <v>88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11</v>
      </c>
      <c r="AQ372" s="8">
        <v>192.5</v>
      </c>
      <c r="AR372" s="4">
        <v>58</v>
      </c>
      <c r="AS372" s="8">
        <v>863.62</v>
      </c>
      <c r="AT372" s="7">
        <v>-0.8103</v>
      </c>
      <c r="AU372" s="7">
        <v>-0.7771</v>
      </c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0.5878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93</v>
      </c>
      <c r="BK372" s="8">
        <v>1426.27</v>
      </c>
      <c r="BL372" s="2" t="s">
        <v>1343</v>
      </c>
      <c r="BM372" s="7">
        <v>0.1183</v>
      </c>
      <c r="BN372" s="7">
        <v>0.135</v>
      </c>
      <c r="BO372" s="4">
        <v>11</v>
      </c>
      <c r="BP372" s="8">
        <v>192.5</v>
      </c>
      <c r="BQ372" s="4">
        <v>58</v>
      </c>
      <c r="BR372" s="8">
        <v>863.62</v>
      </c>
      <c r="BS372" s="7">
        <v>-0.8103</v>
      </c>
      <c r="BT372" s="7">
        <v>-0.7771</v>
      </c>
      <c r="BU372" s="2" t="s">
        <v>107</v>
      </c>
      <c r="BV372" s="2" t="s">
        <v>108</v>
      </c>
      <c r="BW372" s="2" t="s">
        <v>109</v>
      </c>
      <c r="BX372" s="2" t="s">
        <v>228</v>
      </c>
      <c r="BY372" s="2" t="s">
        <v>111</v>
      </c>
    </row>
    <row r="373">
      <c r="A373" s="2" t="s">
        <v>1344</v>
      </c>
      <c r="B373" s="2" t="s">
        <v>86</v>
      </c>
      <c r="C373" s="2" t="s">
        <v>87</v>
      </c>
      <c r="D373" s="2" t="s">
        <v>88</v>
      </c>
      <c r="E373" s="2" t="s">
        <v>1214</v>
      </c>
      <c r="F373" s="2" t="s">
        <v>1332</v>
      </c>
      <c r="G373" s="2" t="s">
        <v>1333</v>
      </c>
      <c r="H373" s="2" t="s">
        <v>1334</v>
      </c>
      <c r="I373" s="2" t="s">
        <v>1345</v>
      </c>
      <c r="J373" s="2" t="s">
        <v>348</v>
      </c>
      <c r="K373" s="2" t="s">
        <v>458</v>
      </c>
      <c r="L373" s="3">
        <v>20.25</v>
      </c>
      <c r="M373" s="3">
        <v>21.26</v>
      </c>
      <c r="N373" s="3">
        <v>44.99</v>
      </c>
      <c r="O373" s="2" t="s">
        <v>368</v>
      </c>
      <c r="P373" s="2" t="s">
        <v>215</v>
      </c>
      <c r="Q373" s="2" t="s">
        <v>97</v>
      </c>
      <c r="R373" s="2" t="s">
        <v>98</v>
      </c>
      <c r="S373" s="2" t="s">
        <v>1346</v>
      </c>
      <c r="T373" s="2" t="s">
        <v>98</v>
      </c>
      <c r="U373" s="2" t="s">
        <v>98</v>
      </c>
      <c r="V373" s="2" t="s">
        <v>617</v>
      </c>
      <c r="W373" s="2" t="s">
        <v>102</v>
      </c>
      <c r="X373" s="2" t="s">
        <v>98</v>
      </c>
      <c r="Y373" s="2" t="s">
        <v>1337</v>
      </c>
      <c r="Z373" s="4">
        <v>5</v>
      </c>
      <c r="AA373" s="4">
        <f>=ROUNDDOWN(0.862068965517241,0)</f>
      </c>
      <c r="AB373" s="5">
        <v>5.8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11</v>
      </c>
      <c r="AQ373" s="8">
        <v>102.74</v>
      </c>
      <c r="AR373" s="4"/>
      <c r="AS373" s="8"/>
      <c r="AT373" s="7"/>
      <c r="AU373" s="7"/>
      <c r="AV373" s="4">
        <v>20</v>
      </c>
      <c r="AW373" s="8">
        <v>237.74</v>
      </c>
      <c r="AX373" s="4">
        <v>79</v>
      </c>
      <c r="AY373" s="8">
        <v>1014.46</v>
      </c>
      <c r="AZ373" s="7">
        <v>-0.7468</v>
      </c>
      <c r="BA373" s="7">
        <v>-0.7656</v>
      </c>
      <c r="BB373" s="7">
        <v>0.4322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0.2662</v>
      </c>
      <c r="BJ373" s="4">
        <v>73</v>
      </c>
      <c r="BK373" s="8">
        <v>1022.2</v>
      </c>
      <c r="BL373" s="2" t="s">
        <v>1347</v>
      </c>
      <c r="BM373" s="7">
        <v>0.1507</v>
      </c>
      <c r="BN373" s="7">
        <v>0.1005</v>
      </c>
      <c r="BO373" s="4">
        <v>11</v>
      </c>
      <c r="BP373" s="8">
        <v>102.74</v>
      </c>
      <c r="BQ373" s="4"/>
      <c r="BR373" s="8"/>
      <c r="BS373" s="7"/>
      <c r="BT373" s="7"/>
      <c r="BU373" s="2" t="s">
        <v>211</v>
      </c>
      <c r="BV373" s="2" t="s">
        <v>352</v>
      </c>
      <c r="BW373" s="2" t="s">
        <v>244</v>
      </c>
      <c r="BX373" s="2" t="s">
        <v>360</v>
      </c>
      <c r="BY373" s="2" t="s">
        <v>354</v>
      </c>
    </row>
    <row r="374">
      <c r="A374" s="2" t="s">
        <v>1348</v>
      </c>
      <c r="B374" s="2" t="s">
        <v>86</v>
      </c>
      <c r="C374" s="2" t="s">
        <v>87</v>
      </c>
      <c r="D374" s="2" t="s">
        <v>88</v>
      </c>
      <c r="E374" s="2" t="s">
        <v>1214</v>
      </c>
      <c r="F374" s="2" t="s">
        <v>1332</v>
      </c>
      <c r="G374" s="2" t="s">
        <v>1333</v>
      </c>
      <c r="H374" s="2" t="s">
        <v>1334</v>
      </c>
      <c r="I374" s="2" t="s">
        <v>1340</v>
      </c>
      <c r="J374" s="2" t="s">
        <v>93</v>
      </c>
      <c r="K374" s="2" t="s">
        <v>458</v>
      </c>
      <c r="L374" s="3">
        <v>14.1</v>
      </c>
      <c r="M374" s="3">
        <v>14.8</v>
      </c>
      <c r="N374" s="3">
        <v>29.99</v>
      </c>
      <c r="O374" s="2" t="s">
        <v>95</v>
      </c>
      <c r="P374" s="2" t="s">
        <v>150</v>
      </c>
      <c r="Q374" s="2" t="s">
        <v>97</v>
      </c>
      <c r="R374" s="2" t="s">
        <v>98</v>
      </c>
      <c r="S374" s="2" t="s">
        <v>1346</v>
      </c>
      <c r="T374" s="2" t="s">
        <v>98</v>
      </c>
      <c r="U374" s="2" t="s">
        <v>98</v>
      </c>
      <c r="V374" s="2" t="s">
        <v>617</v>
      </c>
      <c r="W374" s="2" t="s">
        <v>102</v>
      </c>
      <c r="X374" s="2" t="s">
        <v>1220</v>
      </c>
      <c r="Y374" s="2" t="s">
        <v>104</v>
      </c>
      <c r="Z374" s="4">
        <v>236</v>
      </c>
      <c r="AA374" s="4">
        <f>=ROUNDDOWN(42.9090909090909,0)</f>
      </c>
      <c r="AB374" s="5">
        <v>5.5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9</v>
      </c>
      <c r="AQ374" s="8">
        <v>135</v>
      </c>
      <c r="AR374" s="4">
        <v>65</v>
      </c>
      <c r="AS374" s="8">
        <v>806</v>
      </c>
      <c r="AT374" s="7">
        <v>-0.8615</v>
      </c>
      <c r="AU374" s="7">
        <v>-0.8325</v>
      </c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0.5678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 t="s">
        <v>98</v>
      </c>
      <c r="BJ374" s="4">
        <v>106</v>
      </c>
      <c r="BK374" s="8">
        <v>1358.23</v>
      </c>
      <c r="BL374" s="2" t="s">
        <v>1349</v>
      </c>
      <c r="BM374" s="7">
        <v>0.0849</v>
      </c>
      <c r="BN374" s="7">
        <v>0.0994</v>
      </c>
      <c r="BO374" s="4">
        <v>9</v>
      </c>
      <c r="BP374" s="8">
        <v>135</v>
      </c>
      <c r="BQ374" s="4">
        <v>65</v>
      </c>
      <c r="BR374" s="8">
        <v>806</v>
      </c>
      <c r="BS374" s="7">
        <v>-0.8615</v>
      </c>
      <c r="BT374" s="7">
        <v>-0.8325</v>
      </c>
      <c r="BU374" s="2" t="s">
        <v>107</v>
      </c>
      <c r="BV374" s="2" t="s">
        <v>108</v>
      </c>
      <c r="BW374" s="2" t="s">
        <v>1279</v>
      </c>
      <c r="BX374" s="2" t="s">
        <v>142</v>
      </c>
      <c r="BY374" s="2" t="s">
        <v>111</v>
      </c>
    </row>
    <row r="375">
      <c r="A375" s="2" t="s">
        <v>1350</v>
      </c>
      <c r="B375" s="2" t="s">
        <v>86</v>
      </c>
      <c r="C375" s="2" t="s">
        <v>87</v>
      </c>
      <c r="D375" s="2" t="s">
        <v>88</v>
      </c>
      <c r="E375" s="2" t="s">
        <v>1214</v>
      </c>
      <c r="F375" s="2" t="s">
        <v>1332</v>
      </c>
      <c r="G375" s="2" t="s">
        <v>1333</v>
      </c>
      <c r="H375" s="2" t="s">
        <v>1334</v>
      </c>
      <c r="I375" s="2" t="s">
        <v>1340</v>
      </c>
      <c r="J375" s="2" t="s">
        <v>113</v>
      </c>
      <c r="K375" s="2" t="s">
        <v>458</v>
      </c>
      <c r="L375" s="3">
        <v>16.45</v>
      </c>
      <c r="M375" s="3">
        <v>17.27</v>
      </c>
      <c r="N375" s="3">
        <v>34.99</v>
      </c>
      <c r="O375" s="2" t="s">
        <v>95</v>
      </c>
      <c r="P375" s="2" t="s">
        <v>215</v>
      </c>
      <c r="Q375" s="2" t="s">
        <v>97</v>
      </c>
      <c r="R375" s="2" t="s">
        <v>98</v>
      </c>
      <c r="S375" s="2" t="s">
        <v>1346</v>
      </c>
      <c r="T375" s="2" t="s">
        <v>98</v>
      </c>
      <c r="U375" s="2" t="s">
        <v>98</v>
      </c>
      <c r="V375" s="2" t="s">
        <v>617</v>
      </c>
      <c r="W375" s="2" t="s">
        <v>102</v>
      </c>
      <c r="X375" s="2" t="s">
        <v>98</v>
      </c>
      <c r="Y375" s="2" t="s">
        <v>104</v>
      </c>
      <c r="Z375" s="4">
        <v>361</v>
      </c>
      <c r="AA375" s="4">
        <f>=ROUNDDOWN(722,0)</f>
      </c>
      <c r="AB375" s="5">
        <v>0.5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14</v>
      </c>
      <c r="AS375" s="8">
        <v>208.46</v>
      </c>
      <c r="AT375" s="7">
        <v>-1</v>
      </c>
      <c r="AU375" s="7">
        <v>-1</v>
      </c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>
        <v>27</v>
      </c>
      <c r="BK375" s="8">
        <v>427.45</v>
      </c>
      <c r="BL375" s="2" t="s">
        <v>951</v>
      </c>
      <c r="BM375" s="7"/>
      <c r="BN375" s="7"/>
      <c r="BO375" s="4"/>
      <c r="BP375" s="8"/>
      <c r="BQ375" s="4">
        <v>14</v>
      </c>
      <c r="BR375" s="8">
        <v>208.46</v>
      </c>
      <c r="BS375" s="7">
        <v>-1</v>
      </c>
      <c r="BT375" s="7">
        <v>-1</v>
      </c>
      <c r="BU375" s="2" t="s">
        <v>107</v>
      </c>
      <c r="BV375" s="2" t="s">
        <v>108</v>
      </c>
      <c r="BW375" s="2" t="s">
        <v>109</v>
      </c>
      <c r="BX375" s="2" t="s">
        <v>142</v>
      </c>
      <c r="BY375" s="2" t="s">
        <v>111</v>
      </c>
    </row>
    <row r="376">
      <c r="A376" s="2" t="s">
        <v>1351</v>
      </c>
      <c r="B376" s="2" t="s">
        <v>86</v>
      </c>
      <c r="C376" s="2" t="s">
        <v>87</v>
      </c>
      <c r="D376" s="2" t="s">
        <v>88</v>
      </c>
      <c r="E376" s="2" t="s">
        <v>1214</v>
      </c>
      <c r="F376" s="2" t="s">
        <v>1332</v>
      </c>
      <c r="G376" s="2" t="s">
        <v>1333</v>
      </c>
      <c r="H376" s="2" t="s">
        <v>1334</v>
      </c>
      <c r="I376" s="2" t="s">
        <v>1345</v>
      </c>
      <c r="J376" s="2" t="s">
        <v>348</v>
      </c>
      <c r="K376" s="2" t="s">
        <v>400</v>
      </c>
      <c r="L376" s="3">
        <v>20.25</v>
      </c>
      <c r="M376" s="3">
        <v>21.26</v>
      </c>
      <c r="N376" s="3">
        <v>44.99</v>
      </c>
      <c r="O376" s="2" t="s">
        <v>368</v>
      </c>
      <c r="P376" s="2" t="s">
        <v>215</v>
      </c>
      <c r="Q376" s="2" t="s">
        <v>97</v>
      </c>
      <c r="R376" s="2" t="s">
        <v>98</v>
      </c>
      <c r="S376" s="2" t="s">
        <v>1352</v>
      </c>
      <c r="T376" s="2" t="s">
        <v>98</v>
      </c>
      <c r="U376" s="2" t="s">
        <v>98</v>
      </c>
      <c r="V376" s="2" t="s">
        <v>617</v>
      </c>
      <c r="W376" s="2" t="s">
        <v>102</v>
      </c>
      <c r="X376" s="2" t="s">
        <v>98</v>
      </c>
      <c r="Y376" s="2" t="s">
        <v>1337</v>
      </c>
      <c r="Z376" s="4"/>
      <c r="AA376" s="4">
        <f>=ROUNDDOWN({0},0)</f>
      </c>
      <c r="AB376" s="5"/>
      <c r="AC376" s="2" t="s">
        <v>98</v>
      </c>
      <c r="AD376" s="4"/>
      <c r="AE376" s="4"/>
      <c r="AF376" s="6">
        <v>65</v>
      </c>
      <c r="AG376" s="6"/>
      <c r="AH376" s="7">
        <v>0.8667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9</v>
      </c>
      <c r="AQ376" s="8">
        <v>84.06</v>
      </c>
      <c r="AR376" s="4">
        <v>15</v>
      </c>
      <c r="AS376" s="8">
        <v>268.05</v>
      </c>
      <c r="AT376" s="7">
        <v>-0.4</v>
      </c>
      <c r="AU376" s="7">
        <v>-0.6864</v>
      </c>
      <c r="AV376" s="4">
        <v>17</v>
      </c>
      <c r="AW376" s="8">
        <v>204.06</v>
      </c>
      <c r="AX376" s="4">
        <v>71</v>
      </c>
      <c r="AY376" s="8">
        <v>977.39</v>
      </c>
      <c r="AZ376" s="7">
        <v>-0.7606</v>
      </c>
      <c r="BA376" s="7">
        <v>-0.7912</v>
      </c>
      <c r="BB376" s="7">
        <v>0.4119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0.2285</v>
      </c>
      <c r="BJ376" s="4">
        <v>24</v>
      </c>
      <c r="BK376" s="8">
        <v>338.29</v>
      </c>
      <c r="BL376" s="2" t="s">
        <v>1338</v>
      </c>
      <c r="BM376" s="7">
        <v>0.375</v>
      </c>
      <c r="BN376" s="7">
        <v>0.2485</v>
      </c>
      <c r="BO376" s="4">
        <v>9</v>
      </c>
      <c r="BP376" s="8">
        <v>84.06</v>
      </c>
      <c r="BQ376" s="4">
        <v>15</v>
      </c>
      <c r="BR376" s="8">
        <v>268.05</v>
      </c>
      <c r="BS376" s="7">
        <v>-0.4</v>
      </c>
      <c r="BT376" s="7">
        <v>-0.6864</v>
      </c>
      <c r="BU376" s="2" t="s">
        <v>211</v>
      </c>
      <c r="BV376" s="2" t="s">
        <v>352</v>
      </c>
      <c r="BW376" s="2" t="s">
        <v>244</v>
      </c>
      <c r="BX376" s="2" t="s">
        <v>345</v>
      </c>
      <c r="BY376" s="2" t="s">
        <v>354</v>
      </c>
    </row>
    <row r="377">
      <c r="A377" s="2" t="s">
        <v>1353</v>
      </c>
      <c r="B377" s="2" t="s">
        <v>86</v>
      </c>
      <c r="C377" s="2" t="s">
        <v>87</v>
      </c>
      <c r="D377" s="2" t="s">
        <v>88</v>
      </c>
      <c r="E377" s="2" t="s">
        <v>1214</v>
      </c>
      <c r="F377" s="2" t="s">
        <v>1332</v>
      </c>
      <c r="G377" s="2" t="s">
        <v>1333</v>
      </c>
      <c r="H377" s="2" t="s">
        <v>1334</v>
      </c>
      <c r="I377" s="2" t="s">
        <v>1340</v>
      </c>
      <c r="J377" s="2" t="s">
        <v>93</v>
      </c>
      <c r="K377" s="2" t="s">
        <v>400</v>
      </c>
      <c r="L377" s="3">
        <v>14.1</v>
      </c>
      <c r="M377" s="3">
        <v>14.8</v>
      </c>
      <c r="N377" s="3">
        <v>29.99</v>
      </c>
      <c r="O377" s="2" t="s">
        <v>95</v>
      </c>
      <c r="P377" s="2" t="s">
        <v>150</v>
      </c>
      <c r="Q377" s="2" t="s">
        <v>97</v>
      </c>
      <c r="R377" s="2" t="s">
        <v>98</v>
      </c>
      <c r="S377" s="2" t="s">
        <v>1352</v>
      </c>
      <c r="T377" s="2" t="s">
        <v>98</v>
      </c>
      <c r="U377" s="2" t="s">
        <v>98</v>
      </c>
      <c r="V377" s="2" t="s">
        <v>617</v>
      </c>
      <c r="W377" s="2" t="s">
        <v>102</v>
      </c>
      <c r="X377" s="2" t="s">
        <v>1220</v>
      </c>
      <c r="Y377" s="2" t="s">
        <v>104</v>
      </c>
      <c r="Z377" s="4">
        <v>121</v>
      </c>
      <c r="AA377" s="4">
        <f>=ROUNDDOWN(13.4444444444444,0)</f>
      </c>
      <c r="AB377" s="5">
        <v>9</v>
      </c>
      <c r="AC377" s="2" t="s">
        <v>489</v>
      </c>
      <c r="AD377" s="4">
        <v>64</v>
      </c>
      <c r="AE377" s="4">
        <v>264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8</v>
      </c>
      <c r="AQ377" s="8">
        <v>120</v>
      </c>
      <c r="AR377" s="4">
        <v>50</v>
      </c>
      <c r="AS377" s="8">
        <v>620</v>
      </c>
      <c r="AT377" s="7">
        <v>-0.84</v>
      </c>
      <c r="AU377" s="7">
        <v>-0.8065</v>
      </c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0.5881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96</v>
      </c>
      <c r="BK377" s="8">
        <v>1313.39</v>
      </c>
      <c r="BL377" s="2" t="s">
        <v>1354</v>
      </c>
      <c r="BM377" s="7">
        <v>0.0833</v>
      </c>
      <c r="BN377" s="7">
        <v>0.0914</v>
      </c>
      <c r="BO377" s="4">
        <v>8</v>
      </c>
      <c r="BP377" s="8">
        <v>120</v>
      </c>
      <c r="BQ377" s="4">
        <v>50</v>
      </c>
      <c r="BR377" s="8">
        <v>620</v>
      </c>
      <c r="BS377" s="7">
        <v>-0.84</v>
      </c>
      <c r="BT377" s="7">
        <v>-0.8065</v>
      </c>
      <c r="BU377" s="2" t="s">
        <v>107</v>
      </c>
      <c r="BV377" s="2" t="s">
        <v>108</v>
      </c>
      <c r="BW377" s="2" t="s">
        <v>1279</v>
      </c>
      <c r="BX377" s="2" t="s">
        <v>1355</v>
      </c>
      <c r="BY377" s="2" t="s">
        <v>111</v>
      </c>
    </row>
    <row r="378">
      <c r="A378" s="2" t="s">
        <v>1356</v>
      </c>
      <c r="B378" s="2" t="s">
        <v>86</v>
      </c>
      <c r="C378" s="2" t="s">
        <v>87</v>
      </c>
      <c r="D378" s="2" t="s">
        <v>88</v>
      </c>
      <c r="E378" s="2" t="s">
        <v>1214</v>
      </c>
      <c r="F378" s="2" t="s">
        <v>1332</v>
      </c>
      <c r="G378" s="2" t="s">
        <v>1333</v>
      </c>
      <c r="H378" s="2" t="s">
        <v>1334</v>
      </c>
      <c r="I378" s="2" t="s">
        <v>1340</v>
      </c>
      <c r="J378" s="2" t="s">
        <v>113</v>
      </c>
      <c r="K378" s="2" t="s">
        <v>400</v>
      </c>
      <c r="L378" s="3">
        <v>16.45</v>
      </c>
      <c r="M378" s="3">
        <v>17.27</v>
      </c>
      <c r="N378" s="3">
        <v>34.99</v>
      </c>
      <c r="O378" s="2" t="s">
        <v>95</v>
      </c>
      <c r="P378" s="2" t="s">
        <v>150</v>
      </c>
      <c r="Q378" s="2" t="s">
        <v>97</v>
      </c>
      <c r="R378" s="2" t="s">
        <v>98</v>
      </c>
      <c r="S378" s="2" t="s">
        <v>1352</v>
      </c>
      <c r="T378" s="2" t="s">
        <v>98</v>
      </c>
      <c r="U378" s="2" t="s">
        <v>98</v>
      </c>
      <c r="V378" s="2" t="s">
        <v>617</v>
      </c>
      <c r="W378" s="2" t="s">
        <v>102</v>
      </c>
      <c r="X378" s="2" t="s">
        <v>1220</v>
      </c>
      <c r="Y378" s="2" t="s">
        <v>104</v>
      </c>
      <c r="Z378" s="4">
        <v>156</v>
      </c>
      <c r="AA378" s="4">
        <f>=ROUNDDOWN(31.2,0)</f>
      </c>
      <c r="AB378" s="5">
        <v>5</v>
      </c>
      <c r="AC378" s="2" t="s">
        <v>388</v>
      </c>
      <c r="AD378" s="4">
        <v>92</v>
      </c>
      <c r="AE378" s="4">
        <v>92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>
        <v>6</v>
      </c>
      <c r="AS378" s="8">
        <v>89.34</v>
      </c>
      <c r="AT378" s="7">
        <v>-1</v>
      </c>
      <c r="AU378" s="7">
        <v>-1</v>
      </c>
      <c r="AV378" s="4" t="s">
        <v>98</v>
      </c>
      <c r="AW378" s="8" t="s">
        <v>98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 t="s">
        <v>98</v>
      </c>
      <c r="BJ378" s="4">
        <v>40</v>
      </c>
      <c r="BK378" s="8">
        <v>667.5</v>
      </c>
      <c r="BL378" s="2" t="s">
        <v>1357</v>
      </c>
      <c r="BM378" s="7"/>
      <c r="BN378" s="7"/>
      <c r="BO378" s="4"/>
      <c r="BP378" s="8"/>
      <c r="BQ378" s="4">
        <v>6</v>
      </c>
      <c r="BR378" s="8">
        <v>89.34</v>
      </c>
      <c r="BS378" s="7">
        <v>-1</v>
      </c>
      <c r="BT378" s="7">
        <v>-1</v>
      </c>
      <c r="BU378" s="2" t="s">
        <v>107</v>
      </c>
      <c r="BV378" s="2" t="s">
        <v>108</v>
      </c>
      <c r="BW378" s="2" t="s">
        <v>109</v>
      </c>
      <c r="BX378" s="2" t="s">
        <v>187</v>
      </c>
      <c r="BY378" s="2" t="s">
        <v>111</v>
      </c>
    </row>
    <row r="379">
      <c r="A379" s="2" t="s">
        <v>1358</v>
      </c>
      <c r="B379" s="2" t="s">
        <v>86</v>
      </c>
      <c r="C379" s="2" t="s">
        <v>87</v>
      </c>
      <c r="D379" s="2" t="s">
        <v>88</v>
      </c>
      <c r="E379" s="2" t="s">
        <v>1214</v>
      </c>
      <c r="F379" s="2" t="s">
        <v>1332</v>
      </c>
      <c r="G379" s="2" t="s">
        <v>1333</v>
      </c>
      <c r="H379" s="2" t="s">
        <v>1334</v>
      </c>
      <c r="I379" s="2" t="s">
        <v>1335</v>
      </c>
      <c r="J379" s="2" t="s">
        <v>348</v>
      </c>
      <c r="K379" s="2" t="s">
        <v>1359</v>
      </c>
      <c r="L379" s="3">
        <v>20.25</v>
      </c>
      <c r="M379" s="3">
        <v>21.26</v>
      </c>
      <c r="N379" s="3">
        <v>44.99</v>
      </c>
      <c r="O379" s="2" t="s">
        <v>368</v>
      </c>
      <c r="P379" s="2" t="s">
        <v>215</v>
      </c>
      <c r="Q379" s="2" t="s">
        <v>97</v>
      </c>
      <c r="R379" s="2" t="s">
        <v>98</v>
      </c>
      <c r="S379" s="2" t="s">
        <v>1360</v>
      </c>
      <c r="T379" s="2" t="s">
        <v>98</v>
      </c>
      <c r="U379" s="2" t="s">
        <v>98</v>
      </c>
      <c r="V379" s="2" t="s">
        <v>617</v>
      </c>
      <c r="W379" s="2" t="s">
        <v>102</v>
      </c>
      <c r="X379" s="2" t="s">
        <v>98</v>
      </c>
      <c r="Y379" s="2" t="s">
        <v>1337</v>
      </c>
      <c r="Z379" s="4"/>
      <c r="AA379" s="4">
        <f>=ROUNDDOWN({0},0)</f>
      </c>
      <c r="AB379" s="5">
        <v>0.5</v>
      </c>
      <c r="AC379" s="2" t="s">
        <v>98</v>
      </c>
      <c r="AD379" s="4"/>
      <c r="AE379" s="4"/>
      <c r="AF379" s="6">
        <v>65</v>
      </c>
      <c r="AG379" s="6"/>
      <c r="AH379" s="7">
        <v>0.4333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2</v>
      </c>
      <c r="AQ379" s="8">
        <v>18.68</v>
      </c>
      <c r="AR379" s="4">
        <v>18</v>
      </c>
      <c r="AS379" s="8">
        <v>321.66</v>
      </c>
      <c r="AT379" s="7">
        <v>-0.8889</v>
      </c>
      <c r="AU379" s="7">
        <v>-0.9419</v>
      </c>
      <c r="AV379" s="4">
        <v>9</v>
      </c>
      <c r="AW379" s="8">
        <v>123.68</v>
      </c>
      <c r="AX379" s="4">
        <v>173</v>
      </c>
      <c r="AY379" s="8">
        <v>2363.18</v>
      </c>
      <c r="AZ379" s="7">
        <v>-0.948</v>
      </c>
      <c r="BA379" s="7">
        <v>-0.9477</v>
      </c>
      <c r="BB379" s="7">
        <v>0.151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0.1385</v>
      </c>
      <c r="BJ379" s="4">
        <v>32</v>
      </c>
      <c r="BK379" s="8">
        <v>485.21</v>
      </c>
      <c r="BL379" s="2" t="s">
        <v>1361</v>
      </c>
      <c r="BM379" s="7">
        <v>0.0625</v>
      </c>
      <c r="BN379" s="7">
        <v>0.0385</v>
      </c>
      <c r="BO379" s="4">
        <v>2</v>
      </c>
      <c r="BP379" s="8">
        <v>18.68</v>
      </c>
      <c r="BQ379" s="4">
        <v>18</v>
      </c>
      <c r="BR379" s="8">
        <v>321.66</v>
      </c>
      <c r="BS379" s="7">
        <v>-0.8889</v>
      </c>
      <c r="BT379" s="7">
        <v>-0.9419</v>
      </c>
      <c r="BU379" s="2" t="s">
        <v>211</v>
      </c>
      <c r="BV379" s="2" t="s">
        <v>352</v>
      </c>
      <c r="BW379" s="2" t="s">
        <v>244</v>
      </c>
      <c r="BX379" s="2" t="s">
        <v>1362</v>
      </c>
      <c r="BY379" s="2" t="s">
        <v>354</v>
      </c>
    </row>
    <row r="380">
      <c r="A380" s="2" t="s">
        <v>1363</v>
      </c>
      <c r="B380" s="2" t="s">
        <v>86</v>
      </c>
      <c r="C380" s="2" t="s">
        <v>87</v>
      </c>
      <c r="D380" s="2" t="s">
        <v>88</v>
      </c>
      <c r="E380" s="2" t="s">
        <v>1214</v>
      </c>
      <c r="F380" s="2" t="s">
        <v>1332</v>
      </c>
      <c r="G380" s="2" t="s">
        <v>1333</v>
      </c>
      <c r="H380" s="2" t="s">
        <v>1334</v>
      </c>
      <c r="I380" s="2" t="s">
        <v>1340</v>
      </c>
      <c r="J380" s="2" t="s">
        <v>93</v>
      </c>
      <c r="K380" s="2" t="s">
        <v>1359</v>
      </c>
      <c r="L380" s="3">
        <v>14.1</v>
      </c>
      <c r="M380" s="3">
        <v>14.8</v>
      </c>
      <c r="N380" s="3">
        <v>29.99</v>
      </c>
      <c r="O380" s="2" t="s">
        <v>95</v>
      </c>
      <c r="P380" s="2" t="s">
        <v>150</v>
      </c>
      <c r="Q380" s="2" t="s">
        <v>97</v>
      </c>
      <c r="R380" s="2" t="s">
        <v>98</v>
      </c>
      <c r="S380" s="2" t="s">
        <v>1360</v>
      </c>
      <c r="T380" s="2" t="s">
        <v>98</v>
      </c>
      <c r="U380" s="2" t="s">
        <v>98</v>
      </c>
      <c r="V380" s="2" t="s">
        <v>617</v>
      </c>
      <c r="W380" s="2" t="s">
        <v>102</v>
      </c>
      <c r="X380" s="2" t="s">
        <v>1220</v>
      </c>
      <c r="Y380" s="2" t="s">
        <v>104</v>
      </c>
      <c r="Z380" s="4">
        <v>55</v>
      </c>
      <c r="AA380" s="4">
        <f>=ROUNDDOWN(6.11111111111111,0)</f>
      </c>
      <c r="AB380" s="5">
        <v>9</v>
      </c>
      <c r="AC380" s="2" t="s">
        <v>489</v>
      </c>
      <c r="AD380" s="4">
        <v>332</v>
      </c>
      <c r="AE380" s="4">
        <v>484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7</v>
      </c>
      <c r="AQ380" s="8">
        <v>105</v>
      </c>
      <c r="AR380" s="4">
        <v>107</v>
      </c>
      <c r="AS380" s="8">
        <v>1326.8</v>
      </c>
      <c r="AT380" s="7">
        <v>-0.9346</v>
      </c>
      <c r="AU380" s="7">
        <v>-0.9209</v>
      </c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0.849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 t="s">
        <v>98</v>
      </c>
      <c r="BJ380" s="4">
        <v>142</v>
      </c>
      <c r="BK380" s="8">
        <v>1795.01</v>
      </c>
      <c r="BL380" s="2" t="s">
        <v>1364</v>
      </c>
      <c r="BM380" s="7">
        <v>0.0493</v>
      </c>
      <c r="BN380" s="7">
        <v>0.0585</v>
      </c>
      <c r="BO380" s="4">
        <v>7</v>
      </c>
      <c r="BP380" s="8">
        <v>105</v>
      </c>
      <c r="BQ380" s="4">
        <v>107</v>
      </c>
      <c r="BR380" s="8">
        <v>1326.8</v>
      </c>
      <c r="BS380" s="7">
        <v>-0.9346</v>
      </c>
      <c r="BT380" s="7">
        <v>-0.9209</v>
      </c>
      <c r="BU380" s="2" t="s">
        <v>107</v>
      </c>
      <c r="BV380" s="2" t="s">
        <v>108</v>
      </c>
      <c r="BW380" s="2" t="s">
        <v>109</v>
      </c>
      <c r="BX380" s="2" t="s">
        <v>142</v>
      </c>
      <c r="BY380" s="2" t="s">
        <v>111</v>
      </c>
    </row>
    <row r="381">
      <c r="A381" s="2" t="s">
        <v>1365</v>
      </c>
      <c r="B381" s="2" t="s">
        <v>86</v>
      </c>
      <c r="C381" s="2" t="s">
        <v>87</v>
      </c>
      <c r="D381" s="2" t="s">
        <v>88</v>
      </c>
      <c r="E381" s="2" t="s">
        <v>1214</v>
      </c>
      <c r="F381" s="2" t="s">
        <v>1332</v>
      </c>
      <c r="G381" s="2" t="s">
        <v>1333</v>
      </c>
      <c r="H381" s="2" t="s">
        <v>1334</v>
      </c>
      <c r="I381" s="2" t="s">
        <v>1340</v>
      </c>
      <c r="J381" s="2" t="s">
        <v>113</v>
      </c>
      <c r="K381" s="2" t="s">
        <v>1359</v>
      </c>
      <c r="L381" s="3">
        <v>16.45</v>
      </c>
      <c r="M381" s="3">
        <v>17.27</v>
      </c>
      <c r="N381" s="3">
        <v>34.99</v>
      </c>
      <c r="O381" s="2" t="s">
        <v>95</v>
      </c>
      <c r="P381" s="2" t="s">
        <v>150</v>
      </c>
      <c r="Q381" s="2" t="s">
        <v>97</v>
      </c>
      <c r="R381" s="2" t="s">
        <v>98</v>
      </c>
      <c r="S381" s="2" t="s">
        <v>1360</v>
      </c>
      <c r="T381" s="2" t="s">
        <v>98</v>
      </c>
      <c r="U381" s="2" t="s">
        <v>98</v>
      </c>
      <c r="V381" s="2" t="s">
        <v>617</v>
      </c>
      <c r="W381" s="2" t="s">
        <v>102</v>
      </c>
      <c r="X381" s="2" t="s">
        <v>1220</v>
      </c>
      <c r="Y381" s="2" t="s">
        <v>104</v>
      </c>
      <c r="Z381" s="4">
        <v>88</v>
      </c>
      <c r="AA381" s="4">
        <f>=ROUNDDOWN(29.3333333333333,0)</f>
      </c>
      <c r="AB381" s="5">
        <v>3</v>
      </c>
      <c r="AC381" s="2" t="s">
        <v>98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48</v>
      </c>
      <c r="AS381" s="8">
        <v>714.72</v>
      </c>
      <c r="AT381" s="7">
        <v>-1</v>
      </c>
      <c r="AU381" s="7">
        <v>-1</v>
      </c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71</v>
      </c>
      <c r="BK381" s="8">
        <v>1124.34</v>
      </c>
      <c r="BL381" s="2" t="s">
        <v>1366</v>
      </c>
      <c r="BM381" s="7"/>
      <c r="BN381" s="7"/>
      <c r="BO381" s="4"/>
      <c r="BP381" s="8"/>
      <c r="BQ381" s="4">
        <v>48</v>
      </c>
      <c r="BR381" s="8">
        <v>714.72</v>
      </c>
      <c r="BS381" s="7">
        <v>-1</v>
      </c>
      <c r="BT381" s="7">
        <v>-1</v>
      </c>
      <c r="BU381" s="2" t="s">
        <v>107</v>
      </c>
      <c r="BV381" s="2" t="s">
        <v>108</v>
      </c>
      <c r="BW381" s="2" t="s">
        <v>109</v>
      </c>
      <c r="BX381" s="2" t="s">
        <v>142</v>
      </c>
      <c r="BY381" s="2" t="s">
        <v>111</v>
      </c>
    </row>
    <row r="382">
      <c r="A382" s="2" t="s">
        <v>1367</v>
      </c>
      <c r="B382" s="2" t="s">
        <v>86</v>
      </c>
      <c r="C382" s="2" t="s">
        <v>87</v>
      </c>
      <c r="D382" s="2" t="s">
        <v>88</v>
      </c>
      <c r="E382" s="2" t="s">
        <v>1214</v>
      </c>
      <c r="F382" s="2" t="s">
        <v>1368</v>
      </c>
      <c r="G382" s="2" t="s">
        <v>1369</v>
      </c>
      <c r="H382" s="2" t="s">
        <v>1370</v>
      </c>
      <c r="I382" s="2" t="s">
        <v>1371</v>
      </c>
      <c r="J382" s="2" t="s">
        <v>331</v>
      </c>
      <c r="K382" s="2" t="s">
        <v>290</v>
      </c>
      <c r="L382" s="3">
        <v>13.5</v>
      </c>
      <c r="M382" s="3">
        <v>14.18</v>
      </c>
      <c r="N382" s="3">
        <v>29.99</v>
      </c>
      <c r="O382" s="2" t="s">
        <v>95</v>
      </c>
      <c r="P382" s="2" t="s">
        <v>150</v>
      </c>
      <c r="Q382" s="2" t="s">
        <v>97</v>
      </c>
      <c r="R382" s="2" t="s">
        <v>98</v>
      </c>
      <c r="S382" s="2" t="s">
        <v>1372</v>
      </c>
      <c r="T382" s="2" t="s">
        <v>98</v>
      </c>
      <c r="U382" s="2" t="s">
        <v>100</v>
      </c>
      <c r="V382" s="2" t="s">
        <v>101</v>
      </c>
      <c r="W382" s="2" t="s">
        <v>1373</v>
      </c>
      <c r="X382" s="2" t="s">
        <v>1220</v>
      </c>
      <c r="Y382" s="2" t="s">
        <v>1374</v>
      </c>
      <c r="Z382" s="4">
        <v>120</v>
      </c>
      <c r="AA382" s="4">
        <f>=ROUNDDOWN(24,0)</f>
      </c>
      <c r="AB382" s="5">
        <v>5</v>
      </c>
      <c r="AC382" s="2" t="s">
        <v>98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>
        <v>0.2</v>
      </c>
      <c r="AL382" s="2" t="s">
        <v>98</v>
      </c>
      <c r="AM382" s="4"/>
      <c r="AN382" s="4"/>
      <c r="AO382" s="7">
        <v>0.5111</v>
      </c>
      <c r="AP382" s="4">
        <v>4</v>
      </c>
      <c r="AQ382" s="8">
        <v>60</v>
      </c>
      <c r="AR382" s="4"/>
      <c r="AS382" s="8"/>
      <c r="AT382" s="7"/>
      <c r="AU382" s="7"/>
      <c r="AV382" s="4">
        <v>23</v>
      </c>
      <c r="AW382" s="8">
        <v>432.4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0.1388</v>
      </c>
      <c r="BC382" s="4">
        <v>44</v>
      </c>
      <c r="BD382" s="8">
        <v>793.4</v>
      </c>
      <c r="BE382" s="4">
        <v>188</v>
      </c>
      <c r="BF382" s="8">
        <v>2590.64</v>
      </c>
      <c r="BG382" s="7">
        <v>-0.766</v>
      </c>
      <c r="BH382" s="7">
        <v>-0.6937</v>
      </c>
      <c r="BI382" s="7">
        <v>0.545</v>
      </c>
      <c r="BJ382" s="4">
        <v>80</v>
      </c>
      <c r="BK382" s="8">
        <v>1140.24</v>
      </c>
      <c r="BL382" s="2" t="s">
        <v>1296</v>
      </c>
      <c r="BM382" s="7">
        <v>0.05</v>
      </c>
      <c r="BN382" s="7">
        <v>0.0526</v>
      </c>
      <c r="BO382" s="4">
        <v>4</v>
      </c>
      <c r="BP382" s="8">
        <v>60</v>
      </c>
      <c r="BQ382" s="4"/>
      <c r="BR382" s="8"/>
      <c r="BS382" s="7"/>
      <c r="BT382" s="7"/>
      <c r="BU382" s="2" t="s">
        <v>107</v>
      </c>
      <c r="BV382" s="2" t="s">
        <v>108</v>
      </c>
      <c r="BW382" s="2" t="s">
        <v>524</v>
      </c>
      <c r="BX382" s="2" t="s">
        <v>560</v>
      </c>
      <c r="BY382" s="2" t="s">
        <v>111</v>
      </c>
    </row>
    <row r="383">
      <c r="A383" s="2" t="s">
        <v>1375</v>
      </c>
      <c r="B383" s="2" t="s">
        <v>86</v>
      </c>
      <c r="C383" s="2" t="s">
        <v>87</v>
      </c>
      <c r="D383" s="2" t="s">
        <v>88</v>
      </c>
      <c r="E383" s="2" t="s">
        <v>1214</v>
      </c>
      <c r="F383" s="2" t="s">
        <v>1368</v>
      </c>
      <c r="G383" s="2" t="s">
        <v>1369</v>
      </c>
      <c r="H383" s="2" t="s">
        <v>1370</v>
      </c>
      <c r="I383" s="2" t="s">
        <v>1371</v>
      </c>
      <c r="J383" s="2" t="s">
        <v>93</v>
      </c>
      <c r="K383" s="2" t="s">
        <v>290</v>
      </c>
      <c r="L383" s="3">
        <v>15.05</v>
      </c>
      <c r="M383" s="3">
        <v>15.8</v>
      </c>
      <c r="N383" s="3">
        <v>34.99</v>
      </c>
      <c r="O383" s="2" t="s">
        <v>95</v>
      </c>
      <c r="P383" s="2" t="s">
        <v>150</v>
      </c>
      <c r="Q383" s="2" t="s">
        <v>97</v>
      </c>
      <c r="R383" s="2" t="s">
        <v>98</v>
      </c>
      <c r="S383" s="2" t="s">
        <v>1372</v>
      </c>
      <c r="T383" s="2" t="s">
        <v>98</v>
      </c>
      <c r="U383" s="2" t="s">
        <v>100</v>
      </c>
      <c r="V383" s="2" t="s">
        <v>101</v>
      </c>
      <c r="W383" s="2" t="s">
        <v>1373</v>
      </c>
      <c r="X383" s="2" t="s">
        <v>1220</v>
      </c>
      <c r="Y383" s="2" t="s">
        <v>1374</v>
      </c>
      <c r="Z383" s="4">
        <v>145</v>
      </c>
      <c r="AA383" s="4">
        <f>=ROUNDDOWN(12.0833333333333,0)</f>
      </c>
      <c r="AB383" s="5">
        <v>12</v>
      </c>
      <c r="AC383" s="2" t="s">
        <v>253</v>
      </c>
      <c r="AD383" s="4">
        <v>148</v>
      </c>
      <c r="AE383" s="4">
        <v>148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188</v>
      </c>
      <c r="BK383" s="8">
        <v>2991.32</v>
      </c>
      <c r="BL383" s="2" t="s">
        <v>1376</v>
      </c>
      <c r="BM383" s="7"/>
      <c r="BN383" s="7"/>
      <c r="BO383" s="4"/>
      <c r="BP383" s="8"/>
      <c r="BQ383" s="4"/>
      <c r="BR383" s="8"/>
      <c r="BS383" s="7"/>
      <c r="BT383" s="7"/>
      <c r="BU383" s="2" t="s">
        <v>211</v>
      </c>
      <c r="BV383" s="2" t="s">
        <v>95</v>
      </c>
      <c r="BW383" s="2" t="s">
        <v>524</v>
      </c>
      <c r="BX383" s="2" t="s">
        <v>1377</v>
      </c>
      <c r="BY383" s="2" t="s">
        <v>111</v>
      </c>
    </row>
    <row r="384">
      <c r="A384" s="2" t="s">
        <v>1378</v>
      </c>
      <c r="B384" s="2" t="s">
        <v>86</v>
      </c>
      <c r="C384" s="2" t="s">
        <v>87</v>
      </c>
      <c r="D384" s="2" t="s">
        <v>88</v>
      </c>
      <c r="E384" s="2" t="s">
        <v>1214</v>
      </c>
      <c r="F384" s="2" t="s">
        <v>1368</v>
      </c>
      <c r="G384" s="2" t="s">
        <v>1369</v>
      </c>
      <c r="H384" s="2" t="s">
        <v>1370</v>
      </c>
      <c r="I384" s="2" t="s">
        <v>1371</v>
      </c>
      <c r="J384" s="2" t="s">
        <v>113</v>
      </c>
      <c r="K384" s="2" t="s">
        <v>290</v>
      </c>
      <c r="L384" s="3">
        <v>17.2</v>
      </c>
      <c r="M384" s="3">
        <v>18.06</v>
      </c>
      <c r="N384" s="3">
        <v>39.99</v>
      </c>
      <c r="O384" s="2" t="s">
        <v>95</v>
      </c>
      <c r="P384" s="2" t="s">
        <v>150</v>
      </c>
      <c r="Q384" s="2" t="s">
        <v>97</v>
      </c>
      <c r="R384" s="2" t="s">
        <v>98</v>
      </c>
      <c r="S384" s="2" t="s">
        <v>1372</v>
      </c>
      <c r="T384" s="2" t="s">
        <v>98</v>
      </c>
      <c r="U384" s="2" t="s">
        <v>100</v>
      </c>
      <c r="V384" s="2" t="s">
        <v>101</v>
      </c>
      <c r="W384" s="2" t="s">
        <v>1373</v>
      </c>
      <c r="X384" s="2" t="s">
        <v>1220</v>
      </c>
      <c r="Y384" s="2" t="s">
        <v>1374</v>
      </c>
      <c r="Z384" s="4">
        <v>96</v>
      </c>
      <c r="AA384" s="4">
        <f>=ROUNDDOWN(13.7142857142857,0)</f>
      </c>
      <c r="AB384" s="5">
        <v>7</v>
      </c>
      <c r="AC384" s="2" t="s">
        <v>253</v>
      </c>
      <c r="AD384" s="4">
        <v>124</v>
      </c>
      <c r="AE384" s="4">
        <v>124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19</v>
      </c>
      <c r="AQ384" s="8">
        <v>372.4</v>
      </c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0.8612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>
        <v>95</v>
      </c>
      <c r="BK384" s="8">
        <v>1727.51</v>
      </c>
      <c r="BL384" s="2" t="s">
        <v>891</v>
      </c>
      <c r="BM384" s="7">
        <v>0.2</v>
      </c>
      <c r="BN384" s="7">
        <v>0.2156</v>
      </c>
      <c r="BO384" s="4">
        <v>19</v>
      </c>
      <c r="BP384" s="8">
        <v>372.4</v>
      </c>
      <c r="BQ384" s="4"/>
      <c r="BR384" s="8"/>
      <c r="BS384" s="7"/>
      <c r="BT384" s="7"/>
      <c r="BU384" s="2" t="s">
        <v>107</v>
      </c>
      <c r="BV384" s="2" t="s">
        <v>108</v>
      </c>
      <c r="BW384" s="2" t="s">
        <v>524</v>
      </c>
      <c r="BX384" s="2" t="s">
        <v>204</v>
      </c>
      <c r="BY384" s="2" t="s">
        <v>111</v>
      </c>
    </row>
    <row r="385">
      <c r="A385" s="2" t="s">
        <v>1379</v>
      </c>
      <c r="B385" s="2" t="s">
        <v>86</v>
      </c>
      <c r="C385" s="2" t="s">
        <v>87</v>
      </c>
      <c r="D385" s="2" t="s">
        <v>88</v>
      </c>
      <c r="E385" s="2" t="s">
        <v>1214</v>
      </c>
      <c r="F385" s="2" t="s">
        <v>1368</v>
      </c>
      <c r="G385" s="2" t="s">
        <v>1369</v>
      </c>
      <c r="H385" s="2" t="s">
        <v>1370</v>
      </c>
      <c r="I385" s="2" t="s">
        <v>1371</v>
      </c>
      <c r="J385" s="2" t="s">
        <v>331</v>
      </c>
      <c r="K385" s="2" t="s">
        <v>1380</v>
      </c>
      <c r="L385" s="3">
        <v>13.5</v>
      </c>
      <c r="M385" s="3">
        <v>14.18</v>
      </c>
      <c r="N385" s="3">
        <v>29.99</v>
      </c>
      <c r="O385" s="2" t="s">
        <v>95</v>
      </c>
      <c r="P385" s="2" t="s">
        <v>150</v>
      </c>
      <c r="Q385" s="2" t="s">
        <v>97</v>
      </c>
      <c r="R385" s="2" t="s">
        <v>98</v>
      </c>
      <c r="S385" s="2" t="s">
        <v>1381</v>
      </c>
      <c r="T385" s="2" t="s">
        <v>98</v>
      </c>
      <c r="U385" s="2" t="s">
        <v>100</v>
      </c>
      <c r="V385" s="2" t="s">
        <v>101</v>
      </c>
      <c r="W385" s="2" t="s">
        <v>1373</v>
      </c>
      <c r="X385" s="2" t="s">
        <v>1220</v>
      </c>
      <c r="Y385" s="2" t="s">
        <v>1382</v>
      </c>
      <c r="Z385" s="4">
        <v>131</v>
      </c>
      <c r="AA385" s="4">
        <f>=ROUNDDOWN(11.9090909090909,0)</f>
      </c>
      <c r="AB385" s="5">
        <v>11</v>
      </c>
      <c r="AC385" s="2" t="s">
        <v>158</v>
      </c>
      <c r="AD385" s="4">
        <v>204</v>
      </c>
      <c r="AE385" s="4">
        <v>204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10</v>
      </c>
      <c r="AQ385" s="8">
        <v>150</v>
      </c>
      <c r="AR385" s="4"/>
      <c r="AS385" s="8"/>
      <c r="AT385" s="7"/>
      <c r="AU385" s="7"/>
      <c r="AV385" s="4">
        <v>16</v>
      </c>
      <c r="AW385" s="8">
        <v>267.6</v>
      </c>
      <c r="AX385" s="4">
        <v>188</v>
      </c>
      <c r="AY385" s="8">
        <v>2590.64</v>
      </c>
      <c r="AZ385" s="7">
        <v>-0.9149</v>
      </c>
      <c r="BA385" s="7">
        <v>-0.8967</v>
      </c>
      <c r="BB385" s="7">
        <v>0.5605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0.3373</v>
      </c>
      <c r="BJ385" s="4">
        <v>86</v>
      </c>
      <c r="BK385" s="8">
        <v>1227.32</v>
      </c>
      <c r="BL385" s="2" t="s">
        <v>930</v>
      </c>
      <c r="BM385" s="7">
        <v>0.1163</v>
      </c>
      <c r="BN385" s="7">
        <v>0.1222</v>
      </c>
      <c r="BO385" s="4">
        <v>10</v>
      </c>
      <c r="BP385" s="8">
        <v>150</v>
      </c>
      <c r="BQ385" s="4"/>
      <c r="BR385" s="8"/>
      <c r="BS385" s="7"/>
      <c r="BT385" s="7"/>
      <c r="BU385" s="2" t="s">
        <v>107</v>
      </c>
      <c r="BV385" s="2" t="s">
        <v>108</v>
      </c>
      <c r="BW385" s="2" t="s">
        <v>570</v>
      </c>
      <c r="BX385" s="2" t="s">
        <v>1383</v>
      </c>
      <c r="BY385" s="2" t="s">
        <v>111</v>
      </c>
    </row>
    <row r="386">
      <c r="A386" s="2" t="s">
        <v>1384</v>
      </c>
      <c r="B386" s="2" t="s">
        <v>86</v>
      </c>
      <c r="C386" s="2" t="s">
        <v>87</v>
      </c>
      <c r="D386" s="2" t="s">
        <v>88</v>
      </c>
      <c r="E386" s="2" t="s">
        <v>1214</v>
      </c>
      <c r="F386" s="2" t="s">
        <v>1368</v>
      </c>
      <c r="G386" s="2" t="s">
        <v>1369</v>
      </c>
      <c r="H386" s="2" t="s">
        <v>1370</v>
      </c>
      <c r="I386" s="2" t="s">
        <v>1371</v>
      </c>
      <c r="J386" s="2" t="s">
        <v>93</v>
      </c>
      <c r="K386" s="2" t="s">
        <v>1380</v>
      </c>
      <c r="L386" s="3">
        <v>15.05</v>
      </c>
      <c r="M386" s="3">
        <v>15.8</v>
      </c>
      <c r="N386" s="3">
        <v>34.99</v>
      </c>
      <c r="O386" s="2" t="s">
        <v>95</v>
      </c>
      <c r="P386" s="2" t="s">
        <v>150</v>
      </c>
      <c r="Q386" s="2" t="s">
        <v>97</v>
      </c>
      <c r="R386" s="2" t="s">
        <v>98</v>
      </c>
      <c r="S386" s="2" t="s">
        <v>1381</v>
      </c>
      <c r="T386" s="2" t="s">
        <v>98</v>
      </c>
      <c r="U386" s="2" t="s">
        <v>100</v>
      </c>
      <c r="V386" s="2" t="s">
        <v>101</v>
      </c>
      <c r="W386" s="2" t="s">
        <v>1373</v>
      </c>
      <c r="X386" s="2" t="s">
        <v>1220</v>
      </c>
      <c r="Y386" s="2" t="s">
        <v>1382</v>
      </c>
      <c r="Z386" s="4">
        <v>102</v>
      </c>
      <c r="AA386" s="4">
        <f>=ROUNDDOWN(7.28571428571429,0)</f>
      </c>
      <c r="AB386" s="5">
        <v>14</v>
      </c>
      <c r="AC386" s="2" t="s">
        <v>158</v>
      </c>
      <c r="AD386" s="4">
        <v>216</v>
      </c>
      <c r="AE386" s="4">
        <v>216</v>
      </c>
      <c r="AF386" s="6">
        <v>65</v>
      </c>
      <c r="AG386" s="6"/>
      <c r="AH386" s="7">
        <v>1</v>
      </c>
      <c r="AI386" s="4"/>
      <c r="AJ386" s="4">
        <f>=ROUNDDOWN({0},0)</f>
      </c>
      <c r="AK386" s="5">
        <v>0.9</v>
      </c>
      <c r="AL386" s="2" t="s">
        <v>98</v>
      </c>
      <c r="AM386" s="4"/>
      <c r="AN386" s="4"/>
      <c r="AO386" s="7">
        <v>1</v>
      </c>
      <c r="AP386" s="4"/>
      <c r="AQ386" s="8"/>
      <c r="AR386" s="4">
        <v>188</v>
      </c>
      <c r="AS386" s="8">
        <v>2590.64</v>
      </c>
      <c r="AT386" s="7">
        <v>-1</v>
      </c>
      <c r="AU386" s="7">
        <v>-1</v>
      </c>
      <c r="AV386" s="4" t="s">
        <v>98</v>
      </c>
      <c r="AW386" s="8" t="s">
        <v>98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 t="s">
        <v>98</v>
      </c>
      <c r="BJ386" s="4">
        <v>144</v>
      </c>
      <c r="BK386" s="8">
        <v>2276.72</v>
      </c>
      <c r="BL386" s="2" t="s">
        <v>891</v>
      </c>
      <c r="BM386" s="7"/>
      <c r="BN386" s="7"/>
      <c r="BO386" s="4"/>
      <c r="BP386" s="8"/>
      <c r="BQ386" s="4">
        <v>188</v>
      </c>
      <c r="BR386" s="8">
        <v>2590.64</v>
      </c>
      <c r="BS386" s="7">
        <v>-1</v>
      </c>
      <c r="BT386" s="7">
        <v>-1</v>
      </c>
      <c r="BU386" s="2" t="s">
        <v>107</v>
      </c>
      <c r="BV386" s="2" t="s">
        <v>108</v>
      </c>
      <c r="BW386" s="2" t="s">
        <v>570</v>
      </c>
      <c r="BX386" s="2" t="s">
        <v>791</v>
      </c>
      <c r="BY386" s="2" t="s">
        <v>111</v>
      </c>
    </row>
    <row r="387">
      <c r="A387" s="2" t="s">
        <v>1385</v>
      </c>
      <c r="B387" s="2" t="s">
        <v>86</v>
      </c>
      <c r="C387" s="2" t="s">
        <v>87</v>
      </c>
      <c r="D387" s="2" t="s">
        <v>88</v>
      </c>
      <c r="E387" s="2" t="s">
        <v>1214</v>
      </c>
      <c r="F387" s="2" t="s">
        <v>1368</v>
      </c>
      <c r="G387" s="2" t="s">
        <v>1369</v>
      </c>
      <c r="H387" s="2" t="s">
        <v>1370</v>
      </c>
      <c r="I387" s="2" t="s">
        <v>1371</v>
      </c>
      <c r="J387" s="2" t="s">
        <v>113</v>
      </c>
      <c r="K387" s="2" t="s">
        <v>1380</v>
      </c>
      <c r="L387" s="3">
        <v>17.2</v>
      </c>
      <c r="M387" s="3">
        <v>18.06</v>
      </c>
      <c r="N387" s="3">
        <v>39.99</v>
      </c>
      <c r="O387" s="2" t="s">
        <v>95</v>
      </c>
      <c r="P387" s="2" t="s">
        <v>150</v>
      </c>
      <c r="Q387" s="2" t="s">
        <v>97</v>
      </c>
      <c r="R387" s="2" t="s">
        <v>98</v>
      </c>
      <c r="S387" s="2" t="s">
        <v>1381</v>
      </c>
      <c r="T387" s="2" t="s">
        <v>98</v>
      </c>
      <c r="U387" s="2" t="s">
        <v>100</v>
      </c>
      <c r="V387" s="2" t="s">
        <v>101</v>
      </c>
      <c r="W387" s="2" t="s">
        <v>1373</v>
      </c>
      <c r="X387" s="2" t="s">
        <v>1220</v>
      </c>
      <c r="Y387" s="2" t="s">
        <v>1382</v>
      </c>
      <c r="Z387" s="4">
        <v>437</v>
      </c>
      <c r="AA387" s="4">
        <f>=ROUNDDOWN(62.4285714285714,0)</f>
      </c>
      <c r="AB387" s="5">
        <v>7</v>
      </c>
      <c r="AC387" s="2" t="s">
        <v>98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6</v>
      </c>
      <c r="AQ387" s="8">
        <v>117.6</v>
      </c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>
        <v>0.4395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126</v>
      </c>
      <c r="BK387" s="8">
        <v>2290.91</v>
      </c>
      <c r="BL387" s="2" t="s">
        <v>1386</v>
      </c>
      <c r="BM387" s="7">
        <v>0.0476</v>
      </c>
      <c r="BN387" s="7">
        <v>0.0513</v>
      </c>
      <c r="BO387" s="4">
        <v>6</v>
      </c>
      <c r="BP387" s="8">
        <v>117.6</v>
      </c>
      <c r="BQ387" s="4"/>
      <c r="BR387" s="8"/>
      <c r="BS387" s="7"/>
      <c r="BT387" s="7"/>
      <c r="BU387" s="2" t="s">
        <v>107</v>
      </c>
      <c r="BV387" s="2" t="s">
        <v>108</v>
      </c>
      <c r="BW387" s="2" t="s">
        <v>570</v>
      </c>
      <c r="BX387" s="2" t="s">
        <v>1387</v>
      </c>
      <c r="BY387" s="2" t="s">
        <v>111</v>
      </c>
    </row>
    <row r="388">
      <c r="A388" s="2" t="s">
        <v>1388</v>
      </c>
      <c r="B388" s="2" t="s">
        <v>86</v>
      </c>
      <c r="C388" s="2" t="s">
        <v>87</v>
      </c>
      <c r="D388" s="2" t="s">
        <v>88</v>
      </c>
      <c r="E388" s="2" t="s">
        <v>1214</v>
      </c>
      <c r="F388" s="2" t="s">
        <v>1368</v>
      </c>
      <c r="G388" s="2" t="s">
        <v>1369</v>
      </c>
      <c r="H388" s="2" t="s">
        <v>1370</v>
      </c>
      <c r="I388" s="2" t="s">
        <v>1371</v>
      </c>
      <c r="J388" s="2" t="s">
        <v>331</v>
      </c>
      <c r="K388" s="2" t="s">
        <v>94</v>
      </c>
      <c r="L388" s="3">
        <v>13.5</v>
      </c>
      <c r="M388" s="3">
        <v>14.18</v>
      </c>
      <c r="N388" s="3">
        <v>29.99</v>
      </c>
      <c r="O388" s="2" t="s">
        <v>95</v>
      </c>
      <c r="P388" s="2" t="s">
        <v>129</v>
      </c>
      <c r="Q388" s="2" t="s">
        <v>97</v>
      </c>
      <c r="R388" s="2" t="s">
        <v>98</v>
      </c>
      <c r="S388" s="2" t="s">
        <v>1389</v>
      </c>
      <c r="T388" s="2" t="s">
        <v>98</v>
      </c>
      <c r="U388" s="2" t="s">
        <v>100</v>
      </c>
      <c r="V388" s="2" t="s">
        <v>101</v>
      </c>
      <c r="W388" s="2" t="s">
        <v>1373</v>
      </c>
      <c r="X388" s="2" t="s">
        <v>1220</v>
      </c>
      <c r="Y388" s="2" t="s">
        <v>1374</v>
      </c>
      <c r="Z388" s="4">
        <v>57</v>
      </c>
      <c r="AA388" s="4">
        <f>=ROUNDDOWN(6.33333333333333,0)</f>
      </c>
      <c r="AB388" s="5">
        <v>9</v>
      </c>
      <c r="AC388" s="2" t="s">
        <v>373</v>
      </c>
      <c r="AD388" s="4">
        <v>132</v>
      </c>
      <c r="AE388" s="4">
        <v>192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</v>
      </c>
      <c r="AQ388" s="8">
        <v>15</v>
      </c>
      <c r="AR388" s="4"/>
      <c r="AS388" s="8"/>
      <c r="AT388" s="7"/>
      <c r="AU388" s="7"/>
      <c r="AV388" s="4">
        <v>5</v>
      </c>
      <c r="AW388" s="8">
        <v>93.4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>
        <v>0.1606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0.1177</v>
      </c>
      <c r="BJ388" s="4">
        <v>131</v>
      </c>
      <c r="BK388" s="8">
        <v>1869.28</v>
      </c>
      <c r="BL388" s="2" t="s">
        <v>1390</v>
      </c>
      <c r="BM388" s="7">
        <v>0.0076</v>
      </c>
      <c r="BN388" s="7">
        <v>0.008</v>
      </c>
      <c r="BO388" s="4">
        <v>1</v>
      </c>
      <c r="BP388" s="8">
        <v>15</v>
      </c>
      <c r="BQ388" s="4"/>
      <c r="BR388" s="8"/>
      <c r="BS388" s="7"/>
      <c r="BT388" s="7"/>
      <c r="BU388" s="2" t="s">
        <v>107</v>
      </c>
      <c r="BV388" s="2" t="s">
        <v>108</v>
      </c>
      <c r="BW388" s="2" t="s">
        <v>524</v>
      </c>
      <c r="BX388" s="2" t="s">
        <v>297</v>
      </c>
      <c r="BY388" s="2" t="s">
        <v>111</v>
      </c>
    </row>
    <row r="389">
      <c r="A389" s="2" t="s">
        <v>1391</v>
      </c>
      <c r="B389" s="2" t="s">
        <v>86</v>
      </c>
      <c r="C389" s="2" t="s">
        <v>87</v>
      </c>
      <c r="D389" s="2" t="s">
        <v>88</v>
      </c>
      <c r="E389" s="2" t="s">
        <v>1214</v>
      </c>
      <c r="F389" s="2" t="s">
        <v>1368</v>
      </c>
      <c r="G389" s="2" t="s">
        <v>1369</v>
      </c>
      <c r="H389" s="2" t="s">
        <v>1370</v>
      </c>
      <c r="I389" s="2" t="s">
        <v>1371</v>
      </c>
      <c r="J389" s="2" t="s">
        <v>113</v>
      </c>
      <c r="K389" s="2" t="s">
        <v>94</v>
      </c>
      <c r="L389" s="3">
        <v>17.2</v>
      </c>
      <c r="M389" s="3">
        <v>18.06</v>
      </c>
      <c r="N389" s="3">
        <v>39.99</v>
      </c>
      <c r="O389" s="2" t="s">
        <v>95</v>
      </c>
      <c r="P389" s="2" t="s">
        <v>129</v>
      </c>
      <c r="Q389" s="2" t="s">
        <v>97</v>
      </c>
      <c r="R389" s="2" t="s">
        <v>98</v>
      </c>
      <c r="S389" s="2" t="s">
        <v>1389</v>
      </c>
      <c r="T389" s="2" t="s">
        <v>98</v>
      </c>
      <c r="U389" s="2" t="s">
        <v>100</v>
      </c>
      <c r="V389" s="2" t="s">
        <v>101</v>
      </c>
      <c r="W389" s="2" t="s">
        <v>1373</v>
      </c>
      <c r="X389" s="2" t="s">
        <v>1220</v>
      </c>
      <c r="Y389" s="2" t="s">
        <v>1374</v>
      </c>
      <c r="Z389" s="4">
        <v>139</v>
      </c>
      <c r="AA389" s="4">
        <f>=ROUNDDOWN(5.56,0)</f>
      </c>
      <c r="AB389" s="5">
        <v>25</v>
      </c>
      <c r="AC389" s="2" t="s">
        <v>373</v>
      </c>
      <c r="AD389" s="4">
        <v>132</v>
      </c>
      <c r="AE389" s="4">
        <v>624</v>
      </c>
      <c r="AF389" s="6">
        <v>65</v>
      </c>
      <c r="AG389" s="6"/>
      <c r="AH389" s="7">
        <v>1</v>
      </c>
      <c r="AI389" s="4"/>
      <c r="AJ389" s="4">
        <f>=ROUNDDOWN({0},0)</f>
      </c>
      <c r="AK389" s="5">
        <v>0.5</v>
      </c>
      <c r="AL389" s="2" t="s">
        <v>98</v>
      </c>
      <c r="AM389" s="4"/>
      <c r="AN389" s="4"/>
      <c r="AO389" s="7">
        <v>0.8222</v>
      </c>
      <c r="AP389" s="4">
        <v>4</v>
      </c>
      <c r="AQ389" s="8">
        <v>78.4</v>
      </c>
      <c r="AR389" s="4"/>
      <c r="AS389" s="8"/>
      <c r="AT389" s="7"/>
      <c r="AU389" s="7"/>
      <c r="AV389" s="4" t="s">
        <v>98</v>
      </c>
      <c r="AW389" s="8" t="s">
        <v>98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>
        <v>0.8394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 t="s">
        <v>98</v>
      </c>
      <c r="BJ389" s="4">
        <v>235</v>
      </c>
      <c r="BK389" s="8">
        <v>4347.63</v>
      </c>
      <c r="BL389" s="2" t="s">
        <v>1392</v>
      </c>
      <c r="BM389" s="7">
        <v>0.017</v>
      </c>
      <c r="BN389" s="7">
        <v>0.018</v>
      </c>
      <c r="BO389" s="4">
        <v>4</v>
      </c>
      <c r="BP389" s="8">
        <v>78.4</v>
      </c>
      <c r="BQ389" s="4"/>
      <c r="BR389" s="8"/>
      <c r="BS389" s="7"/>
      <c r="BT389" s="7"/>
      <c r="BU389" s="2" t="s">
        <v>107</v>
      </c>
      <c r="BV389" s="2" t="s">
        <v>108</v>
      </c>
      <c r="BW389" s="2" t="s">
        <v>524</v>
      </c>
      <c r="BX389" s="2" t="s">
        <v>1393</v>
      </c>
      <c r="BY389" s="2" t="s">
        <v>111</v>
      </c>
    </row>
    <row r="390">
      <c r="A390" s="2" t="s">
        <v>1394</v>
      </c>
      <c r="B390" s="2" t="s">
        <v>86</v>
      </c>
      <c r="C390" s="2" t="s">
        <v>87</v>
      </c>
      <c r="D390" s="2" t="s">
        <v>88</v>
      </c>
      <c r="E390" s="2" t="s">
        <v>1214</v>
      </c>
      <c r="F390" s="2" t="s">
        <v>1368</v>
      </c>
      <c r="G390" s="2" t="s">
        <v>1369</v>
      </c>
      <c r="H390" s="2" t="s">
        <v>1370</v>
      </c>
      <c r="I390" s="2" t="s">
        <v>1371</v>
      </c>
      <c r="J390" s="2" t="s">
        <v>93</v>
      </c>
      <c r="K390" s="2" t="s">
        <v>458</v>
      </c>
      <c r="L390" s="3">
        <v>15.05</v>
      </c>
      <c r="M390" s="3">
        <v>15.8</v>
      </c>
      <c r="N390" s="3">
        <v>34.99</v>
      </c>
      <c r="O390" s="2" t="s">
        <v>95</v>
      </c>
      <c r="P390" s="2" t="s">
        <v>150</v>
      </c>
      <c r="Q390" s="2" t="s">
        <v>97</v>
      </c>
      <c r="R390" s="2" t="s">
        <v>98</v>
      </c>
      <c r="S390" s="2" t="s">
        <v>1395</v>
      </c>
      <c r="T390" s="2" t="s">
        <v>98</v>
      </c>
      <c r="U390" s="2" t="s">
        <v>100</v>
      </c>
      <c r="V390" s="2" t="s">
        <v>101</v>
      </c>
      <c r="W390" s="2" t="s">
        <v>1373</v>
      </c>
      <c r="X390" s="2" t="s">
        <v>1220</v>
      </c>
      <c r="Y390" s="2" t="s">
        <v>1396</v>
      </c>
      <c r="Z390" s="4">
        <v>69</v>
      </c>
      <c r="AA390" s="4">
        <f>=ROUNDDOWN(4.05882352941176,0)</f>
      </c>
      <c r="AB390" s="5">
        <v>17</v>
      </c>
      <c r="AC390" s="2" t="s">
        <v>489</v>
      </c>
      <c r="AD390" s="4">
        <v>364</v>
      </c>
      <c r="AE390" s="4">
        <v>492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 t="s">
        <v>98</v>
      </c>
      <c r="BJ390" s="4">
        <v>145</v>
      </c>
      <c r="BK390" s="8">
        <v>2290.57</v>
      </c>
      <c r="BL390" s="2" t="s">
        <v>1397</v>
      </c>
      <c r="BM390" s="7"/>
      <c r="BN390" s="7"/>
      <c r="BO390" s="4"/>
      <c r="BP390" s="8"/>
      <c r="BQ390" s="4"/>
      <c r="BR390" s="8"/>
      <c r="BS390" s="7"/>
      <c r="BT390" s="7"/>
      <c r="BU390" s="2" t="s">
        <v>211</v>
      </c>
      <c r="BV390" s="2" t="s">
        <v>95</v>
      </c>
      <c r="BW390" s="2" t="s">
        <v>524</v>
      </c>
      <c r="BX390" s="2" t="s">
        <v>916</v>
      </c>
      <c r="BY390" s="2" t="s">
        <v>111</v>
      </c>
    </row>
    <row r="391">
      <c r="A391" s="2" t="s">
        <v>1398</v>
      </c>
      <c r="B391" s="2" t="s">
        <v>86</v>
      </c>
      <c r="C391" s="2" t="s">
        <v>87</v>
      </c>
      <c r="D391" s="2" t="s">
        <v>88</v>
      </c>
      <c r="E391" s="2" t="s">
        <v>1214</v>
      </c>
      <c r="F391" s="2" t="s">
        <v>1368</v>
      </c>
      <c r="G391" s="2" t="s">
        <v>1369</v>
      </c>
      <c r="H391" s="2" t="s">
        <v>1370</v>
      </c>
      <c r="I391" s="2" t="s">
        <v>1371</v>
      </c>
      <c r="J391" s="2" t="s">
        <v>113</v>
      </c>
      <c r="K391" s="2" t="s">
        <v>458</v>
      </c>
      <c r="L391" s="3">
        <v>17.2</v>
      </c>
      <c r="M391" s="3">
        <v>18.06</v>
      </c>
      <c r="N391" s="3">
        <v>39.99</v>
      </c>
      <c r="O391" s="2" t="s">
        <v>95</v>
      </c>
      <c r="P391" s="2" t="s">
        <v>150</v>
      </c>
      <c r="Q391" s="2" t="s">
        <v>97</v>
      </c>
      <c r="R391" s="2" t="s">
        <v>98</v>
      </c>
      <c r="S391" s="2" t="s">
        <v>1395</v>
      </c>
      <c r="T391" s="2" t="s">
        <v>98</v>
      </c>
      <c r="U391" s="2" t="s">
        <v>100</v>
      </c>
      <c r="V391" s="2" t="s">
        <v>101</v>
      </c>
      <c r="W391" s="2" t="s">
        <v>1373</v>
      </c>
      <c r="X391" s="2" t="s">
        <v>1220</v>
      </c>
      <c r="Y391" s="2" t="s">
        <v>1396</v>
      </c>
      <c r="Z391" s="4">
        <v>169</v>
      </c>
      <c r="AA391" s="4">
        <f>=ROUNDDOWN(16.9,0)</f>
      </c>
      <c r="AB391" s="5">
        <v>10</v>
      </c>
      <c r="AC391" s="2" t="s">
        <v>158</v>
      </c>
      <c r="AD391" s="4">
        <v>212</v>
      </c>
      <c r="AE391" s="4">
        <v>212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 t="s">
        <v>98</v>
      </c>
      <c r="BJ391" s="4">
        <v>109</v>
      </c>
      <c r="BK391" s="8">
        <v>2001.46</v>
      </c>
      <c r="BL391" s="2" t="s">
        <v>1399</v>
      </c>
      <c r="BM391" s="7"/>
      <c r="BN391" s="7"/>
      <c r="BO391" s="4"/>
      <c r="BP391" s="8"/>
      <c r="BQ391" s="4"/>
      <c r="BR391" s="8"/>
      <c r="BS391" s="7"/>
      <c r="BT391" s="7"/>
      <c r="BU391" s="2" t="s">
        <v>211</v>
      </c>
      <c r="BV391" s="2" t="s">
        <v>95</v>
      </c>
      <c r="BW391" s="2" t="s">
        <v>524</v>
      </c>
      <c r="BX391" s="2" t="s">
        <v>1377</v>
      </c>
      <c r="BY391" s="2" t="s">
        <v>111</v>
      </c>
    </row>
    <row r="392">
      <c r="A392" s="2" t="s">
        <v>1400</v>
      </c>
      <c r="B392" s="2" t="s">
        <v>86</v>
      </c>
      <c r="C392" s="2" t="s">
        <v>87</v>
      </c>
      <c r="D392" s="2" t="s">
        <v>88</v>
      </c>
      <c r="E392" s="2" t="s">
        <v>1214</v>
      </c>
      <c r="F392" s="2" t="s">
        <v>1401</v>
      </c>
      <c r="G392" s="2" t="s">
        <v>1402</v>
      </c>
      <c r="H392" s="2" t="s">
        <v>1216</v>
      </c>
      <c r="I392" s="2" t="s">
        <v>1403</v>
      </c>
      <c r="J392" s="2" t="s">
        <v>331</v>
      </c>
      <c r="K392" s="2" t="s">
        <v>94</v>
      </c>
      <c r="L392" s="3">
        <v>13.5</v>
      </c>
      <c r="M392" s="3">
        <v>14.18</v>
      </c>
      <c r="N392" s="3">
        <v>29.99</v>
      </c>
      <c r="O392" s="2" t="s">
        <v>95</v>
      </c>
      <c r="P392" s="2" t="s">
        <v>150</v>
      </c>
      <c r="Q392" s="2" t="s">
        <v>97</v>
      </c>
      <c r="R392" s="2" t="s">
        <v>98</v>
      </c>
      <c r="S392" s="2" t="s">
        <v>1404</v>
      </c>
      <c r="T392" s="2" t="s">
        <v>98</v>
      </c>
      <c r="U392" s="2" t="s">
        <v>98</v>
      </c>
      <c r="V392" s="2" t="s">
        <v>617</v>
      </c>
      <c r="W392" s="2" t="s">
        <v>335</v>
      </c>
      <c r="X392" s="2" t="s">
        <v>1220</v>
      </c>
      <c r="Y392" s="2" t="s">
        <v>104</v>
      </c>
      <c r="Z392" s="4">
        <v>242</v>
      </c>
      <c r="AA392" s="4">
        <f>=ROUNDDOWN(39.672131147541,0)</f>
      </c>
      <c r="AB392" s="5">
        <v>6.1</v>
      </c>
      <c r="AC392" s="2" t="s">
        <v>98</v>
      </c>
      <c r="AD392" s="4"/>
      <c r="AE392" s="4"/>
      <c r="AF392" s="6">
        <v>65</v>
      </c>
      <c r="AG392" s="6"/>
      <c r="AH392" s="7">
        <v>1</v>
      </c>
      <c r="AI392" s="4">
        <v>1</v>
      </c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11</v>
      </c>
      <c r="AQ392" s="8">
        <v>165</v>
      </c>
      <c r="AR392" s="4"/>
      <c r="AS392" s="8"/>
      <c r="AT392" s="7"/>
      <c r="AU392" s="7"/>
      <c r="AV392" s="4">
        <v>19</v>
      </c>
      <c r="AW392" s="8">
        <v>305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0.541</v>
      </c>
      <c r="BC392" s="4">
        <v>19</v>
      </c>
      <c r="BD392" s="8">
        <v>305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1</v>
      </c>
      <c r="BJ392" s="4">
        <v>129</v>
      </c>
      <c r="BK392" s="8">
        <v>1799.26</v>
      </c>
      <c r="BL392" s="2" t="s">
        <v>296</v>
      </c>
      <c r="BM392" s="7">
        <v>0.0853</v>
      </c>
      <c r="BN392" s="7">
        <v>0.0917</v>
      </c>
      <c r="BO392" s="4">
        <v>11</v>
      </c>
      <c r="BP392" s="8">
        <v>165</v>
      </c>
      <c r="BQ392" s="4"/>
      <c r="BR392" s="8"/>
      <c r="BS392" s="7"/>
      <c r="BT392" s="7"/>
      <c r="BU392" s="2" t="s">
        <v>107</v>
      </c>
      <c r="BV392" s="2" t="s">
        <v>108</v>
      </c>
      <c r="BW392" s="2" t="s">
        <v>524</v>
      </c>
      <c r="BX392" s="2" t="s">
        <v>1405</v>
      </c>
      <c r="BY392" s="2" t="s">
        <v>111</v>
      </c>
    </row>
    <row r="393">
      <c r="A393" s="2" t="s">
        <v>1406</v>
      </c>
      <c r="B393" s="2" t="s">
        <v>86</v>
      </c>
      <c r="C393" s="2" t="s">
        <v>87</v>
      </c>
      <c r="D393" s="2" t="s">
        <v>88</v>
      </c>
      <c r="E393" s="2" t="s">
        <v>1214</v>
      </c>
      <c r="F393" s="2" t="s">
        <v>1401</v>
      </c>
      <c r="G393" s="2" t="s">
        <v>1402</v>
      </c>
      <c r="H393" s="2" t="s">
        <v>1216</v>
      </c>
      <c r="I393" s="2" t="s">
        <v>1403</v>
      </c>
      <c r="J393" s="2" t="s">
        <v>93</v>
      </c>
      <c r="K393" s="2" t="s">
        <v>94</v>
      </c>
      <c r="L393" s="3">
        <v>16.45</v>
      </c>
      <c r="M393" s="3">
        <v>17.27</v>
      </c>
      <c r="N393" s="3">
        <v>34.99</v>
      </c>
      <c r="O393" s="2" t="s">
        <v>95</v>
      </c>
      <c r="P393" s="2" t="s">
        <v>150</v>
      </c>
      <c r="Q393" s="2" t="s">
        <v>97</v>
      </c>
      <c r="R393" s="2" t="s">
        <v>98</v>
      </c>
      <c r="S393" s="2" t="s">
        <v>1404</v>
      </c>
      <c r="T393" s="2" t="s">
        <v>98</v>
      </c>
      <c r="U393" s="2" t="s">
        <v>98</v>
      </c>
      <c r="V393" s="2" t="s">
        <v>617</v>
      </c>
      <c r="W393" s="2" t="s">
        <v>335</v>
      </c>
      <c r="X393" s="2" t="s">
        <v>1220</v>
      </c>
      <c r="Y393" s="2" t="s">
        <v>104</v>
      </c>
      <c r="Z393" s="4">
        <v>233</v>
      </c>
      <c r="AA393" s="4">
        <f>=ROUNDDOWN(19.4166666666667,0)</f>
      </c>
      <c r="AB393" s="5">
        <v>12</v>
      </c>
      <c r="AC393" s="2" t="s">
        <v>309</v>
      </c>
      <c r="AD393" s="4">
        <v>200</v>
      </c>
      <c r="AE393" s="4">
        <v>200</v>
      </c>
      <c r="AF393" s="6">
        <v>65</v>
      </c>
      <c r="AG393" s="6"/>
      <c r="AH393" s="7">
        <v>1</v>
      </c>
      <c r="AI393" s="4"/>
      <c r="AJ393" s="4">
        <f>=ROUNDDOWN({0},0)</f>
      </c>
      <c r="AK393" s="5">
        <v>1.1</v>
      </c>
      <c r="AL393" s="2" t="s">
        <v>98</v>
      </c>
      <c r="AM393" s="4"/>
      <c r="AN393" s="4"/>
      <c r="AO393" s="7">
        <v>0.1444</v>
      </c>
      <c r="AP393" s="4">
        <v>8</v>
      </c>
      <c r="AQ393" s="8">
        <v>140</v>
      </c>
      <c r="AR393" s="4"/>
      <c r="AS393" s="8"/>
      <c r="AT393" s="7"/>
      <c r="AU393" s="7"/>
      <c r="AV393" s="4" t="s">
        <v>98</v>
      </c>
      <c r="AW393" s="8" t="s">
        <v>98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0.459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 t="s">
        <v>98</v>
      </c>
      <c r="BJ393" s="4">
        <v>229</v>
      </c>
      <c r="BK393" s="8">
        <v>3885.01</v>
      </c>
      <c r="BL393" s="2" t="s">
        <v>1407</v>
      </c>
      <c r="BM393" s="7">
        <v>0.0349</v>
      </c>
      <c r="BN393" s="7">
        <v>0.036</v>
      </c>
      <c r="BO393" s="4">
        <v>8</v>
      </c>
      <c r="BP393" s="8">
        <v>140</v>
      </c>
      <c r="BQ393" s="4"/>
      <c r="BR393" s="8"/>
      <c r="BS393" s="7"/>
      <c r="BT393" s="7"/>
      <c r="BU393" s="2" t="s">
        <v>107</v>
      </c>
      <c r="BV393" s="2" t="s">
        <v>108</v>
      </c>
      <c r="BW393" s="2" t="s">
        <v>524</v>
      </c>
      <c r="BX393" s="2" t="s">
        <v>1408</v>
      </c>
      <c r="BY393" s="2" t="s">
        <v>111</v>
      </c>
    </row>
    <row r="394">
      <c r="A394" s="2" t="s">
        <v>1409</v>
      </c>
      <c r="B394" s="2" t="s">
        <v>86</v>
      </c>
      <c r="C394" s="2" t="s">
        <v>87</v>
      </c>
      <c r="D394" s="2" t="s">
        <v>88</v>
      </c>
      <c r="E394" s="2" t="s">
        <v>1214</v>
      </c>
      <c r="F394" s="2" t="s">
        <v>1410</v>
      </c>
      <c r="G394" s="2" t="s">
        <v>1411</v>
      </c>
      <c r="H394" s="2" t="s">
        <v>1412</v>
      </c>
      <c r="I394" s="2" t="s">
        <v>1413</v>
      </c>
      <c r="J394" s="2" t="s">
        <v>93</v>
      </c>
      <c r="K394" s="2" t="s">
        <v>1414</v>
      </c>
      <c r="L394" s="3">
        <v>11.07</v>
      </c>
      <c r="M394" s="3">
        <v>11.62</v>
      </c>
      <c r="N394" s="3">
        <v>26.99</v>
      </c>
      <c r="O394" s="2" t="s">
        <v>95</v>
      </c>
      <c r="P394" s="2" t="s">
        <v>465</v>
      </c>
      <c r="Q394" s="2" t="s">
        <v>97</v>
      </c>
      <c r="R394" s="2" t="s">
        <v>98</v>
      </c>
      <c r="S394" s="2" t="s">
        <v>1415</v>
      </c>
      <c r="T394" s="2" t="s">
        <v>878</v>
      </c>
      <c r="U394" s="2" t="s">
        <v>100</v>
      </c>
      <c r="V394" s="2" t="s">
        <v>1416</v>
      </c>
      <c r="W394" s="2" t="s">
        <v>335</v>
      </c>
      <c r="X394" s="2" t="s">
        <v>98</v>
      </c>
      <c r="Y394" s="2" t="s">
        <v>1417</v>
      </c>
      <c r="Z394" s="4">
        <v>509</v>
      </c>
      <c r="AA394" s="4">
        <f>=ROUNDDOWN(24.2380952380952,0)</f>
      </c>
      <c r="AB394" s="5">
        <v>21</v>
      </c>
      <c r="AC394" s="2" t="s">
        <v>98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12</v>
      </c>
      <c r="AQ394" s="8">
        <v>152.28</v>
      </c>
      <c r="AR394" s="4"/>
      <c r="AS394" s="8"/>
      <c r="AT394" s="7"/>
      <c r="AU394" s="7"/>
      <c r="AV394" s="4">
        <v>12</v>
      </c>
      <c r="AW394" s="8">
        <v>152.28</v>
      </c>
      <c r="AX394" s="4"/>
      <c r="AY394" s="8"/>
      <c r="AZ394" s="7"/>
      <c r="BA394" s="7"/>
      <c r="BB394" s="7">
        <v>1</v>
      </c>
      <c r="BC394" s="4">
        <v>14</v>
      </c>
      <c r="BD394" s="8">
        <v>177.66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0.8571</v>
      </c>
      <c r="BJ394" s="4">
        <v>442</v>
      </c>
      <c r="BK394" s="8">
        <v>4975.57</v>
      </c>
      <c r="BL394" s="2" t="s">
        <v>1418</v>
      </c>
      <c r="BM394" s="7">
        <v>0.0271</v>
      </c>
      <c r="BN394" s="7">
        <v>0.0306</v>
      </c>
      <c r="BO394" s="4">
        <v>12</v>
      </c>
      <c r="BP394" s="8">
        <v>152.28</v>
      </c>
      <c r="BQ394" s="4"/>
      <c r="BR394" s="8"/>
      <c r="BS394" s="7"/>
      <c r="BT394" s="7"/>
      <c r="BU394" s="2" t="s">
        <v>211</v>
      </c>
      <c r="BV394" s="2" t="s">
        <v>95</v>
      </c>
      <c r="BW394" s="2" t="s">
        <v>1419</v>
      </c>
      <c r="BX394" s="2" t="s">
        <v>1420</v>
      </c>
      <c r="BY394" s="2" t="s">
        <v>111</v>
      </c>
    </row>
    <row r="395">
      <c r="A395" s="2" t="s">
        <v>1421</v>
      </c>
      <c r="B395" s="2" t="s">
        <v>86</v>
      </c>
      <c r="C395" s="2" t="s">
        <v>87</v>
      </c>
      <c r="D395" s="2" t="s">
        <v>88</v>
      </c>
      <c r="E395" s="2" t="s">
        <v>1214</v>
      </c>
      <c r="F395" s="2" t="s">
        <v>1410</v>
      </c>
      <c r="G395" s="2" t="s">
        <v>1411</v>
      </c>
      <c r="H395" s="2" t="s">
        <v>1412</v>
      </c>
      <c r="I395" s="2" t="s">
        <v>1413</v>
      </c>
      <c r="J395" s="2" t="s">
        <v>93</v>
      </c>
      <c r="K395" s="2" t="s">
        <v>458</v>
      </c>
      <c r="L395" s="3">
        <v>11.07</v>
      </c>
      <c r="M395" s="3">
        <v>11.62</v>
      </c>
      <c r="N395" s="3">
        <v>26.99</v>
      </c>
      <c r="O395" s="2" t="s">
        <v>95</v>
      </c>
      <c r="P395" s="2" t="s">
        <v>465</v>
      </c>
      <c r="Q395" s="2" t="s">
        <v>97</v>
      </c>
      <c r="R395" s="2" t="s">
        <v>98</v>
      </c>
      <c r="S395" s="2" t="s">
        <v>1422</v>
      </c>
      <c r="T395" s="2" t="s">
        <v>98</v>
      </c>
      <c r="U395" s="2" t="s">
        <v>98</v>
      </c>
      <c r="V395" s="2" t="s">
        <v>1416</v>
      </c>
      <c r="W395" s="2" t="s">
        <v>335</v>
      </c>
      <c r="X395" s="2" t="s">
        <v>98</v>
      </c>
      <c r="Y395" s="2" t="s">
        <v>532</v>
      </c>
      <c r="Z395" s="4">
        <v>409</v>
      </c>
      <c r="AA395" s="4">
        <f>=ROUNDDOWN(14.6071428571429,0)</f>
      </c>
      <c r="AB395" s="5">
        <v>28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</v>
      </c>
      <c r="AQ395" s="8">
        <v>25.38</v>
      </c>
      <c r="AR395" s="4"/>
      <c r="AS395" s="8"/>
      <c r="AT395" s="7"/>
      <c r="AU395" s="7"/>
      <c r="AV395" s="4">
        <v>2</v>
      </c>
      <c r="AW395" s="8">
        <v>25.38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0.1429</v>
      </c>
      <c r="BJ395" s="4">
        <v>370</v>
      </c>
      <c r="BK395" s="8">
        <v>4135.29</v>
      </c>
      <c r="BL395" s="2" t="s">
        <v>1423</v>
      </c>
      <c r="BM395" s="7">
        <v>0.0054</v>
      </c>
      <c r="BN395" s="7">
        <v>0.0061</v>
      </c>
      <c r="BO395" s="4">
        <v>2</v>
      </c>
      <c r="BP395" s="8">
        <v>25.38</v>
      </c>
      <c r="BQ395" s="4"/>
      <c r="BR395" s="8"/>
      <c r="BS395" s="7"/>
      <c r="BT395" s="7"/>
      <c r="BU395" s="2" t="s">
        <v>211</v>
      </c>
      <c r="BV395" s="2" t="s">
        <v>95</v>
      </c>
      <c r="BW395" s="2" t="s">
        <v>524</v>
      </c>
      <c r="BX395" s="2" t="s">
        <v>1424</v>
      </c>
      <c r="BY395" s="2" t="s">
        <v>111</v>
      </c>
    </row>
    <row r="396">
      <c r="A396" s="2" t="s">
        <v>1425</v>
      </c>
      <c r="B396" s="2" t="s">
        <v>86</v>
      </c>
      <c r="C396" s="2" t="s">
        <v>87</v>
      </c>
      <c r="D396" s="2" t="s">
        <v>88</v>
      </c>
      <c r="E396" s="2" t="s">
        <v>1214</v>
      </c>
      <c r="F396" s="2" t="s">
        <v>1410</v>
      </c>
      <c r="G396" s="2" t="s">
        <v>1411</v>
      </c>
      <c r="H396" s="2" t="s">
        <v>1412</v>
      </c>
      <c r="I396" s="2" t="s">
        <v>1413</v>
      </c>
      <c r="J396" s="2" t="s">
        <v>113</v>
      </c>
      <c r="K396" s="2" t="s">
        <v>458</v>
      </c>
      <c r="L396" s="3">
        <v>13.5</v>
      </c>
      <c r="M396" s="3">
        <v>14.18</v>
      </c>
      <c r="N396" s="3">
        <v>29.99</v>
      </c>
      <c r="O396" s="2" t="s">
        <v>95</v>
      </c>
      <c r="P396" s="2" t="s">
        <v>465</v>
      </c>
      <c r="Q396" s="2" t="s">
        <v>97</v>
      </c>
      <c r="R396" s="2" t="s">
        <v>98</v>
      </c>
      <c r="S396" s="2" t="s">
        <v>1426</v>
      </c>
      <c r="T396" s="2" t="s">
        <v>98</v>
      </c>
      <c r="U396" s="2" t="s">
        <v>98</v>
      </c>
      <c r="V396" s="2" t="s">
        <v>1416</v>
      </c>
      <c r="W396" s="2" t="s">
        <v>335</v>
      </c>
      <c r="X396" s="2" t="s">
        <v>98</v>
      </c>
      <c r="Y396" s="2" t="s">
        <v>532</v>
      </c>
      <c r="Z396" s="4">
        <v>4</v>
      </c>
      <c r="AA396" s="4">
        <f>=ROUNDDOWN(0.344827586206897,0)</f>
      </c>
      <c r="AB396" s="5">
        <v>11.6</v>
      </c>
      <c r="AC396" s="2" t="s">
        <v>98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 t="s">
        <v>98</v>
      </c>
      <c r="BJ396" s="4">
        <v>122</v>
      </c>
      <c r="BK396" s="8">
        <v>1690.15</v>
      </c>
      <c r="BL396" s="2" t="s">
        <v>1427</v>
      </c>
      <c r="BM396" s="7"/>
      <c r="BN396" s="7"/>
      <c r="BO396" s="4"/>
      <c r="BP396" s="8"/>
      <c r="BQ396" s="4"/>
      <c r="BR396" s="8"/>
      <c r="BS396" s="7"/>
      <c r="BT396" s="7"/>
      <c r="BU396" s="2" t="s">
        <v>211</v>
      </c>
      <c r="BV396" s="2" t="s">
        <v>95</v>
      </c>
      <c r="BW396" s="2" t="s">
        <v>524</v>
      </c>
      <c r="BX396" s="2" t="s">
        <v>1428</v>
      </c>
      <c r="BY396" s="2" t="s">
        <v>111</v>
      </c>
    </row>
    <row r="397">
      <c r="A397" s="2" t="s">
        <v>1429</v>
      </c>
      <c r="B397" s="2" t="s">
        <v>86</v>
      </c>
      <c r="C397" s="2" t="s">
        <v>87</v>
      </c>
      <c r="D397" s="2" t="s">
        <v>88</v>
      </c>
      <c r="E397" s="2" t="s">
        <v>1214</v>
      </c>
      <c r="F397" s="2" t="s">
        <v>1430</v>
      </c>
      <c r="G397" s="2" t="s">
        <v>1431</v>
      </c>
      <c r="H397" s="2" t="s">
        <v>1432</v>
      </c>
      <c r="I397" s="2" t="s">
        <v>1433</v>
      </c>
      <c r="J397" s="2" t="s">
        <v>93</v>
      </c>
      <c r="K397" s="2" t="s">
        <v>312</v>
      </c>
      <c r="L397" s="3">
        <v>10</v>
      </c>
      <c r="M397" s="3">
        <v>10.5</v>
      </c>
      <c r="N397" s="3">
        <v>24.99</v>
      </c>
      <c r="O397" s="2" t="s">
        <v>368</v>
      </c>
      <c r="P397" s="2" t="s">
        <v>215</v>
      </c>
      <c r="Q397" s="2" t="s">
        <v>97</v>
      </c>
      <c r="R397" s="2" t="s">
        <v>98</v>
      </c>
      <c r="S397" s="2" t="s">
        <v>1434</v>
      </c>
      <c r="T397" s="2" t="s">
        <v>98</v>
      </c>
      <c r="U397" s="2" t="s">
        <v>100</v>
      </c>
      <c r="V397" s="2" t="s">
        <v>101</v>
      </c>
      <c r="W397" s="2" t="s">
        <v>335</v>
      </c>
      <c r="X397" s="2" t="s">
        <v>98</v>
      </c>
      <c r="Y397" s="2" t="s">
        <v>1435</v>
      </c>
      <c r="Z397" s="4">
        <v>4</v>
      </c>
      <c r="AA397" s="4">
        <f>=ROUNDDOWN({0},0)</f>
      </c>
      <c r="AB397" s="5"/>
      <c r="AC397" s="2" t="s">
        <v>98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13</v>
      </c>
      <c r="BK397" s="8">
        <v>132.55</v>
      </c>
      <c r="BL397" s="2" t="s">
        <v>1436</v>
      </c>
      <c r="BM397" s="7"/>
      <c r="BN397" s="7"/>
      <c r="BO397" s="4"/>
      <c r="BP397" s="8"/>
      <c r="BQ397" s="4"/>
      <c r="BR397" s="8"/>
      <c r="BS397" s="7"/>
      <c r="BT397" s="7"/>
      <c r="BU397" s="2" t="s">
        <v>1437</v>
      </c>
      <c r="BV397" s="2" t="s">
        <v>95</v>
      </c>
      <c r="BW397" s="2" t="s">
        <v>98</v>
      </c>
      <c r="BX397" s="2" t="s">
        <v>98</v>
      </c>
      <c r="BY397" s="2" t="s">
        <v>111</v>
      </c>
    </row>
    <row r="398">
      <c r="A398" s="2" t="s">
        <v>1438</v>
      </c>
      <c r="B398" s="2" t="s">
        <v>86</v>
      </c>
      <c r="C398" s="2" t="s">
        <v>87</v>
      </c>
      <c r="D398" s="2" t="s">
        <v>88</v>
      </c>
      <c r="E398" s="2" t="s">
        <v>1214</v>
      </c>
      <c r="F398" s="2" t="s">
        <v>1439</v>
      </c>
      <c r="G398" s="2" t="s">
        <v>1440</v>
      </c>
      <c r="H398" s="2" t="s">
        <v>1441</v>
      </c>
      <c r="I398" s="2" t="s">
        <v>1442</v>
      </c>
      <c r="J398" s="2" t="s">
        <v>331</v>
      </c>
      <c r="K398" s="2" t="s">
        <v>458</v>
      </c>
      <c r="L398" s="3">
        <v>10.5</v>
      </c>
      <c r="M398" s="3">
        <v>11.02</v>
      </c>
      <c r="N398" s="3">
        <v>24.99</v>
      </c>
      <c r="O398" s="2" t="s">
        <v>95</v>
      </c>
      <c r="P398" s="2" t="s">
        <v>150</v>
      </c>
      <c r="Q398" s="2" t="s">
        <v>97</v>
      </c>
      <c r="R398" s="2" t="s">
        <v>98</v>
      </c>
      <c r="S398" s="2" t="s">
        <v>1443</v>
      </c>
      <c r="T398" s="2" t="s">
        <v>98</v>
      </c>
      <c r="U398" s="2" t="s">
        <v>98</v>
      </c>
      <c r="V398" s="2" t="s">
        <v>617</v>
      </c>
      <c r="W398" s="2" t="s">
        <v>335</v>
      </c>
      <c r="X398" s="2" t="s">
        <v>1220</v>
      </c>
      <c r="Y398" s="2" t="s">
        <v>104</v>
      </c>
      <c r="Z398" s="4">
        <v>154</v>
      </c>
      <c r="AA398" s="4">
        <f>=ROUNDDOWN(30.8,0)</f>
      </c>
      <c r="AB398" s="5">
        <v>5</v>
      </c>
      <c r="AC398" s="2" t="s">
        <v>489</v>
      </c>
      <c r="AD398" s="4">
        <v>20</v>
      </c>
      <c r="AE398" s="4">
        <v>20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>
        <v>94</v>
      </c>
      <c r="AS398" s="8">
        <v>881.72</v>
      </c>
      <c r="AT398" s="7">
        <v>-1</v>
      </c>
      <c r="AU398" s="7">
        <v>-1</v>
      </c>
      <c r="AV398" s="4" t="s">
        <v>98</v>
      </c>
      <c r="AW398" s="8" t="s">
        <v>98</v>
      </c>
      <c r="AX398" s="4">
        <v>324</v>
      </c>
      <c r="AY398" s="8">
        <v>3645.18</v>
      </c>
      <c r="AZ398" s="7" t="s">
        <v>98</v>
      </c>
      <c r="BA398" s="7" t="s">
        <v>98</v>
      </c>
      <c r="BB398" s="7"/>
      <c r="BC398" s="4" t="s">
        <v>98</v>
      </c>
      <c r="BD398" s="8" t="s">
        <v>98</v>
      </c>
      <c r="BE398" s="4">
        <v>816</v>
      </c>
      <c r="BF398" s="8">
        <v>9638.4</v>
      </c>
      <c r="BG398" s="7" t="s">
        <v>98</v>
      </c>
      <c r="BH398" s="7" t="s">
        <v>98</v>
      </c>
      <c r="BI398" s="7"/>
      <c r="BJ398" s="4">
        <v>145</v>
      </c>
      <c r="BK398" s="8">
        <v>1474.43</v>
      </c>
      <c r="BL398" s="2" t="s">
        <v>1444</v>
      </c>
      <c r="BM398" s="7"/>
      <c r="BN398" s="7"/>
      <c r="BO398" s="4"/>
      <c r="BP398" s="8"/>
      <c r="BQ398" s="4">
        <v>94</v>
      </c>
      <c r="BR398" s="8">
        <v>881.72</v>
      </c>
      <c r="BS398" s="7">
        <v>-1</v>
      </c>
      <c r="BT398" s="7">
        <v>-1</v>
      </c>
      <c r="BU398" s="2" t="s">
        <v>211</v>
      </c>
      <c r="BV398" s="2" t="s">
        <v>95</v>
      </c>
      <c r="BW398" s="2" t="s">
        <v>524</v>
      </c>
      <c r="BX398" s="2" t="s">
        <v>1445</v>
      </c>
      <c r="BY398" s="2" t="s">
        <v>111</v>
      </c>
    </row>
    <row r="399">
      <c r="A399" s="2" t="s">
        <v>1446</v>
      </c>
      <c r="B399" s="2" t="s">
        <v>86</v>
      </c>
      <c r="C399" s="2" t="s">
        <v>87</v>
      </c>
      <c r="D399" s="2" t="s">
        <v>88</v>
      </c>
      <c r="E399" s="2" t="s">
        <v>1214</v>
      </c>
      <c r="F399" s="2" t="s">
        <v>1439</v>
      </c>
      <c r="G399" s="2" t="s">
        <v>1440</v>
      </c>
      <c r="H399" s="2" t="s">
        <v>1441</v>
      </c>
      <c r="I399" s="2" t="s">
        <v>1442</v>
      </c>
      <c r="J399" s="2" t="s">
        <v>93</v>
      </c>
      <c r="K399" s="2" t="s">
        <v>458</v>
      </c>
      <c r="L399" s="3">
        <v>13.2</v>
      </c>
      <c r="M399" s="3">
        <v>13.86</v>
      </c>
      <c r="N399" s="3">
        <v>29.99</v>
      </c>
      <c r="O399" s="2" t="s">
        <v>95</v>
      </c>
      <c r="P399" s="2" t="s">
        <v>150</v>
      </c>
      <c r="Q399" s="2" t="s">
        <v>97</v>
      </c>
      <c r="R399" s="2" t="s">
        <v>98</v>
      </c>
      <c r="S399" s="2" t="s">
        <v>1443</v>
      </c>
      <c r="T399" s="2" t="s">
        <v>98</v>
      </c>
      <c r="U399" s="2" t="s">
        <v>98</v>
      </c>
      <c r="V399" s="2" t="s">
        <v>617</v>
      </c>
      <c r="W399" s="2" t="s">
        <v>335</v>
      </c>
      <c r="X399" s="2" t="s">
        <v>1220</v>
      </c>
      <c r="Y399" s="2" t="s">
        <v>104</v>
      </c>
      <c r="Z399" s="4">
        <v>287</v>
      </c>
      <c r="AA399" s="4">
        <f>=ROUNDDOWN(23.9166666666667,0)</f>
      </c>
      <c r="AB399" s="5">
        <v>12</v>
      </c>
      <c r="AC399" s="2" t="s">
        <v>489</v>
      </c>
      <c r="AD399" s="4">
        <v>244</v>
      </c>
      <c r="AE399" s="4">
        <v>244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>
        <v>201</v>
      </c>
      <c r="AS399" s="8">
        <v>2355.72</v>
      </c>
      <c r="AT399" s="7">
        <v>-1</v>
      </c>
      <c r="AU399" s="7">
        <v>-1</v>
      </c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208</v>
      </c>
      <c r="BK399" s="8">
        <v>2635.58</v>
      </c>
      <c r="BL399" s="2" t="s">
        <v>1447</v>
      </c>
      <c r="BM399" s="7"/>
      <c r="BN399" s="7"/>
      <c r="BO399" s="4"/>
      <c r="BP399" s="8"/>
      <c r="BQ399" s="4">
        <v>201</v>
      </c>
      <c r="BR399" s="8">
        <v>2355.72</v>
      </c>
      <c r="BS399" s="7">
        <v>-1</v>
      </c>
      <c r="BT399" s="7">
        <v>-1</v>
      </c>
      <c r="BU399" s="2" t="s">
        <v>107</v>
      </c>
      <c r="BV399" s="2" t="s">
        <v>108</v>
      </c>
      <c r="BW399" s="2" t="s">
        <v>524</v>
      </c>
      <c r="BX399" s="2" t="s">
        <v>1445</v>
      </c>
      <c r="BY399" s="2" t="s">
        <v>111</v>
      </c>
    </row>
    <row r="400">
      <c r="A400" s="2" t="s">
        <v>1448</v>
      </c>
      <c r="B400" s="2" t="s">
        <v>86</v>
      </c>
      <c r="C400" s="2" t="s">
        <v>87</v>
      </c>
      <c r="D400" s="2" t="s">
        <v>88</v>
      </c>
      <c r="E400" s="2" t="s">
        <v>1214</v>
      </c>
      <c r="F400" s="2" t="s">
        <v>1439</v>
      </c>
      <c r="G400" s="2" t="s">
        <v>1440</v>
      </c>
      <c r="H400" s="2" t="s">
        <v>1441</v>
      </c>
      <c r="I400" s="2" t="s">
        <v>1442</v>
      </c>
      <c r="J400" s="2" t="s">
        <v>113</v>
      </c>
      <c r="K400" s="2" t="s">
        <v>458</v>
      </c>
      <c r="L400" s="3">
        <v>15.75</v>
      </c>
      <c r="M400" s="3">
        <v>16.54</v>
      </c>
      <c r="N400" s="3">
        <v>34.99</v>
      </c>
      <c r="O400" s="2" t="s">
        <v>95</v>
      </c>
      <c r="P400" s="2" t="s">
        <v>150</v>
      </c>
      <c r="Q400" s="2" t="s">
        <v>97</v>
      </c>
      <c r="R400" s="2" t="s">
        <v>98</v>
      </c>
      <c r="S400" s="2" t="s">
        <v>1443</v>
      </c>
      <c r="T400" s="2" t="s">
        <v>98</v>
      </c>
      <c r="U400" s="2" t="s">
        <v>98</v>
      </c>
      <c r="V400" s="2" t="s">
        <v>617</v>
      </c>
      <c r="W400" s="2" t="s">
        <v>335</v>
      </c>
      <c r="X400" s="2" t="s">
        <v>1220</v>
      </c>
      <c r="Y400" s="2" t="s">
        <v>104</v>
      </c>
      <c r="Z400" s="4">
        <v>153</v>
      </c>
      <c r="AA400" s="4">
        <f>=ROUNDDOWN(38.25,0)</f>
      </c>
      <c r="AB400" s="5">
        <v>4</v>
      </c>
      <c r="AC400" s="2" t="s">
        <v>489</v>
      </c>
      <c r="AD400" s="4">
        <v>28</v>
      </c>
      <c r="AE400" s="4">
        <v>28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>
        <v>29</v>
      </c>
      <c r="AS400" s="8">
        <v>407.74</v>
      </c>
      <c r="AT400" s="7">
        <v>-1</v>
      </c>
      <c r="AU400" s="7">
        <v>-1</v>
      </c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109</v>
      </c>
      <c r="BK400" s="8">
        <v>1669.46</v>
      </c>
      <c r="BL400" s="2" t="s">
        <v>395</v>
      </c>
      <c r="BM400" s="7"/>
      <c r="BN400" s="7"/>
      <c r="BO400" s="4"/>
      <c r="BP400" s="8"/>
      <c r="BQ400" s="4">
        <v>29</v>
      </c>
      <c r="BR400" s="8">
        <v>407.74</v>
      </c>
      <c r="BS400" s="7">
        <v>-1</v>
      </c>
      <c r="BT400" s="7">
        <v>-1</v>
      </c>
      <c r="BU400" s="2" t="s">
        <v>107</v>
      </c>
      <c r="BV400" s="2" t="s">
        <v>108</v>
      </c>
      <c r="BW400" s="2" t="s">
        <v>524</v>
      </c>
      <c r="BX400" s="2" t="s">
        <v>631</v>
      </c>
      <c r="BY400" s="2" t="s">
        <v>111</v>
      </c>
    </row>
    <row r="401">
      <c r="A401" s="2" t="s">
        <v>1449</v>
      </c>
      <c r="B401" s="2" t="s">
        <v>86</v>
      </c>
      <c r="C401" s="2" t="s">
        <v>87</v>
      </c>
      <c r="D401" s="2" t="s">
        <v>88</v>
      </c>
      <c r="E401" s="2" t="s">
        <v>1214</v>
      </c>
      <c r="F401" s="2" t="s">
        <v>1439</v>
      </c>
      <c r="G401" s="2" t="s">
        <v>1440</v>
      </c>
      <c r="H401" s="2" t="s">
        <v>1441</v>
      </c>
      <c r="I401" s="2" t="s">
        <v>1442</v>
      </c>
      <c r="J401" s="2" t="s">
        <v>331</v>
      </c>
      <c r="K401" s="2" t="s">
        <v>400</v>
      </c>
      <c r="L401" s="3">
        <v>10.5</v>
      </c>
      <c r="M401" s="3">
        <v>11.02</v>
      </c>
      <c r="N401" s="3">
        <v>24.99</v>
      </c>
      <c r="O401" s="2" t="s">
        <v>95</v>
      </c>
      <c r="P401" s="2" t="s">
        <v>150</v>
      </c>
      <c r="Q401" s="2" t="s">
        <v>97</v>
      </c>
      <c r="R401" s="2" t="s">
        <v>98</v>
      </c>
      <c r="S401" s="2" t="s">
        <v>1450</v>
      </c>
      <c r="T401" s="2" t="s">
        <v>98</v>
      </c>
      <c r="U401" s="2" t="s">
        <v>98</v>
      </c>
      <c r="V401" s="2" t="s">
        <v>617</v>
      </c>
      <c r="W401" s="2" t="s">
        <v>335</v>
      </c>
      <c r="X401" s="2" t="s">
        <v>1220</v>
      </c>
      <c r="Y401" s="2" t="s">
        <v>104</v>
      </c>
      <c r="Z401" s="4">
        <v>291</v>
      </c>
      <c r="AA401" s="4">
        <f>=ROUNDDOWN(45.46875,0)</f>
      </c>
      <c r="AB401" s="5">
        <v>6.4</v>
      </c>
      <c r="AC401" s="2" t="s">
        <v>272</v>
      </c>
      <c r="AD401" s="4">
        <v>120</v>
      </c>
      <c r="AE401" s="4">
        <v>120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4</v>
      </c>
      <c r="AS401" s="8">
        <v>37.52</v>
      </c>
      <c r="AT401" s="7">
        <v>-1</v>
      </c>
      <c r="AU401" s="7">
        <v>-1</v>
      </c>
      <c r="AV401" s="4" t="s">
        <v>98</v>
      </c>
      <c r="AW401" s="8" t="s">
        <v>98</v>
      </c>
      <c r="AX401" s="4">
        <v>101</v>
      </c>
      <c r="AY401" s="8">
        <v>1321.78</v>
      </c>
      <c r="AZ401" s="7" t="s">
        <v>98</v>
      </c>
      <c r="BA401" s="7" t="s">
        <v>98</v>
      </c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>
        <v>180</v>
      </c>
      <c r="BK401" s="8">
        <v>1931.24</v>
      </c>
      <c r="BL401" s="2" t="s">
        <v>1451</v>
      </c>
      <c r="BM401" s="7"/>
      <c r="BN401" s="7"/>
      <c r="BO401" s="4"/>
      <c r="BP401" s="8"/>
      <c r="BQ401" s="4">
        <v>4</v>
      </c>
      <c r="BR401" s="8">
        <v>37.52</v>
      </c>
      <c r="BS401" s="7">
        <v>-1</v>
      </c>
      <c r="BT401" s="7">
        <v>-1</v>
      </c>
      <c r="BU401" s="2" t="s">
        <v>107</v>
      </c>
      <c r="BV401" s="2" t="s">
        <v>108</v>
      </c>
      <c r="BW401" s="2" t="s">
        <v>524</v>
      </c>
      <c r="BX401" s="2" t="s">
        <v>1452</v>
      </c>
      <c r="BY401" s="2" t="s">
        <v>111</v>
      </c>
    </row>
    <row r="402">
      <c r="A402" s="2" t="s">
        <v>1453</v>
      </c>
      <c r="B402" s="2" t="s">
        <v>86</v>
      </c>
      <c r="C402" s="2" t="s">
        <v>87</v>
      </c>
      <c r="D402" s="2" t="s">
        <v>88</v>
      </c>
      <c r="E402" s="2" t="s">
        <v>1214</v>
      </c>
      <c r="F402" s="2" t="s">
        <v>1439</v>
      </c>
      <c r="G402" s="2" t="s">
        <v>1440</v>
      </c>
      <c r="H402" s="2" t="s">
        <v>1441</v>
      </c>
      <c r="I402" s="2" t="s">
        <v>1442</v>
      </c>
      <c r="J402" s="2" t="s">
        <v>93</v>
      </c>
      <c r="K402" s="2" t="s">
        <v>400</v>
      </c>
      <c r="L402" s="3">
        <v>13.2</v>
      </c>
      <c r="M402" s="3">
        <v>13.86</v>
      </c>
      <c r="N402" s="3">
        <v>29.99</v>
      </c>
      <c r="O402" s="2" t="s">
        <v>95</v>
      </c>
      <c r="P402" s="2" t="s">
        <v>150</v>
      </c>
      <c r="Q402" s="2" t="s">
        <v>97</v>
      </c>
      <c r="R402" s="2" t="s">
        <v>98</v>
      </c>
      <c r="S402" s="2" t="s">
        <v>1450</v>
      </c>
      <c r="T402" s="2" t="s">
        <v>98</v>
      </c>
      <c r="U402" s="2" t="s">
        <v>98</v>
      </c>
      <c r="V402" s="2" t="s">
        <v>617</v>
      </c>
      <c r="W402" s="2" t="s">
        <v>335</v>
      </c>
      <c r="X402" s="2" t="s">
        <v>1220</v>
      </c>
      <c r="Y402" s="2" t="s">
        <v>104</v>
      </c>
      <c r="Z402" s="4">
        <v>445</v>
      </c>
      <c r="AA402" s="4">
        <f>=ROUNDDOWN(23.4210526315789,0)</f>
      </c>
      <c r="AB402" s="5">
        <v>19</v>
      </c>
      <c r="AC402" s="2" t="s">
        <v>272</v>
      </c>
      <c r="AD402" s="4">
        <v>268</v>
      </c>
      <c r="AE402" s="4">
        <v>268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1</v>
      </c>
      <c r="AP402" s="4"/>
      <c r="AQ402" s="8"/>
      <c r="AR402" s="4">
        <v>34</v>
      </c>
      <c r="AS402" s="8">
        <v>398.48</v>
      </c>
      <c r="AT402" s="7">
        <v>-1</v>
      </c>
      <c r="AU402" s="7">
        <v>-1</v>
      </c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>
        <v>288</v>
      </c>
      <c r="BK402" s="8">
        <v>3834.65</v>
      </c>
      <c r="BL402" s="2" t="s">
        <v>1451</v>
      </c>
      <c r="BM402" s="7"/>
      <c r="BN402" s="7"/>
      <c r="BO402" s="4"/>
      <c r="BP402" s="8"/>
      <c r="BQ402" s="4">
        <v>34</v>
      </c>
      <c r="BR402" s="8">
        <v>398.48</v>
      </c>
      <c r="BS402" s="7">
        <v>-1</v>
      </c>
      <c r="BT402" s="7">
        <v>-1</v>
      </c>
      <c r="BU402" s="2" t="s">
        <v>107</v>
      </c>
      <c r="BV402" s="2" t="s">
        <v>108</v>
      </c>
      <c r="BW402" s="2" t="s">
        <v>524</v>
      </c>
      <c r="BX402" s="2" t="s">
        <v>1454</v>
      </c>
      <c r="BY402" s="2" t="s">
        <v>111</v>
      </c>
    </row>
    <row r="403">
      <c r="A403" s="2" t="s">
        <v>1455</v>
      </c>
      <c r="B403" s="2" t="s">
        <v>86</v>
      </c>
      <c r="C403" s="2" t="s">
        <v>87</v>
      </c>
      <c r="D403" s="2" t="s">
        <v>88</v>
      </c>
      <c r="E403" s="2" t="s">
        <v>1214</v>
      </c>
      <c r="F403" s="2" t="s">
        <v>1439</v>
      </c>
      <c r="G403" s="2" t="s">
        <v>1440</v>
      </c>
      <c r="H403" s="2" t="s">
        <v>1441</v>
      </c>
      <c r="I403" s="2" t="s">
        <v>1442</v>
      </c>
      <c r="J403" s="2" t="s">
        <v>113</v>
      </c>
      <c r="K403" s="2" t="s">
        <v>400</v>
      </c>
      <c r="L403" s="3">
        <v>15.75</v>
      </c>
      <c r="M403" s="3">
        <v>16.54</v>
      </c>
      <c r="N403" s="3">
        <v>34.99</v>
      </c>
      <c r="O403" s="2" t="s">
        <v>95</v>
      </c>
      <c r="P403" s="2" t="s">
        <v>150</v>
      </c>
      <c r="Q403" s="2" t="s">
        <v>97</v>
      </c>
      <c r="R403" s="2" t="s">
        <v>98</v>
      </c>
      <c r="S403" s="2" t="s">
        <v>1450</v>
      </c>
      <c r="T403" s="2" t="s">
        <v>98</v>
      </c>
      <c r="U403" s="2" t="s">
        <v>98</v>
      </c>
      <c r="V403" s="2" t="s">
        <v>617</v>
      </c>
      <c r="W403" s="2" t="s">
        <v>335</v>
      </c>
      <c r="X403" s="2" t="s">
        <v>1220</v>
      </c>
      <c r="Y403" s="2" t="s">
        <v>104</v>
      </c>
      <c r="Z403" s="4">
        <v>364</v>
      </c>
      <c r="AA403" s="4">
        <f>=ROUNDDOWN(36.4,0)</f>
      </c>
      <c r="AB403" s="5">
        <v>10</v>
      </c>
      <c r="AC403" s="2" t="s">
        <v>98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>
        <v>63</v>
      </c>
      <c r="AS403" s="8">
        <v>885.78</v>
      </c>
      <c r="AT403" s="7">
        <v>-1</v>
      </c>
      <c r="AU403" s="7">
        <v>-1</v>
      </c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>
        <v>224</v>
      </c>
      <c r="BK403" s="8">
        <v>3625.75</v>
      </c>
      <c r="BL403" s="2" t="s">
        <v>1456</v>
      </c>
      <c r="BM403" s="7"/>
      <c r="BN403" s="7"/>
      <c r="BO403" s="4"/>
      <c r="BP403" s="8"/>
      <c r="BQ403" s="4">
        <v>63</v>
      </c>
      <c r="BR403" s="8">
        <v>885.78</v>
      </c>
      <c r="BS403" s="7">
        <v>-1</v>
      </c>
      <c r="BT403" s="7">
        <v>-1</v>
      </c>
      <c r="BU403" s="2" t="s">
        <v>107</v>
      </c>
      <c r="BV403" s="2" t="s">
        <v>108</v>
      </c>
      <c r="BW403" s="2" t="s">
        <v>524</v>
      </c>
      <c r="BX403" s="2" t="s">
        <v>766</v>
      </c>
      <c r="BY403" s="2" t="s">
        <v>111</v>
      </c>
    </row>
    <row r="404">
      <c r="A404" s="2" t="s">
        <v>1457</v>
      </c>
      <c r="B404" s="2" t="s">
        <v>86</v>
      </c>
      <c r="C404" s="2" t="s">
        <v>87</v>
      </c>
      <c r="D404" s="2" t="s">
        <v>88</v>
      </c>
      <c r="E404" s="2" t="s">
        <v>1214</v>
      </c>
      <c r="F404" s="2" t="s">
        <v>1439</v>
      </c>
      <c r="G404" s="2" t="s">
        <v>1440</v>
      </c>
      <c r="H404" s="2" t="s">
        <v>1441</v>
      </c>
      <c r="I404" s="2" t="s">
        <v>1442</v>
      </c>
      <c r="J404" s="2" t="s">
        <v>331</v>
      </c>
      <c r="K404" s="2" t="s">
        <v>94</v>
      </c>
      <c r="L404" s="3">
        <v>10.5</v>
      </c>
      <c r="M404" s="3">
        <v>11.02</v>
      </c>
      <c r="N404" s="3">
        <v>24.99</v>
      </c>
      <c r="O404" s="2" t="s">
        <v>95</v>
      </c>
      <c r="P404" s="2" t="s">
        <v>150</v>
      </c>
      <c r="Q404" s="2" t="s">
        <v>97</v>
      </c>
      <c r="R404" s="2" t="s">
        <v>98</v>
      </c>
      <c r="S404" s="2" t="s">
        <v>1458</v>
      </c>
      <c r="T404" s="2" t="s">
        <v>98</v>
      </c>
      <c r="U404" s="2" t="s">
        <v>98</v>
      </c>
      <c r="V404" s="2" t="s">
        <v>617</v>
      </c>
      <c r="W404" s="2" t="s">
        <v>335</v>
      </c>
      <c r="X404" s="2" t="s">
        <v>1220</v>
      </c>
      <c r="Y404" s="2" t="s">
        <v>104</v>
      </c>
      <c r="Z404" s="4">
        <v>250</v>
      </c>
      <c r="AA404" s="4">
        <f>=ROUNDDOWN(14.7058823529412,0)</f>
      </c>
      <c r="AB404" s="5">
        <v>17</v>
      </c>
      <c r="AC404" s="2" t="s">
        <v>309</v>
      </c>
      <c r="AD404" s="4">
        <v>428</v>
      </c>
      <c r="AE404" s="4">
        <v>428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>
        <v>59</v>
      </c>
      <c r="AS404" s="8">
        <v>553.42</v>
      </c>
      <c r="AT404" s="7">
        <v>-1</v>
      </c>
      <c r="AU404" s="7">
        <v>-1</v>
      </c>
      <c r="AV404" s="4" t="s">
        <v>98</v>
      </c>
      <c r="AW404" s="8" t="s">
        <v>98</v>
      </c>
      <c r="AX404" s="4">
        <v>391</v>
      </c>
      <c r="AY404" s="8">
        <v>4671.44</v>
      </c>
      <c r="AZ404" s="7" t="s">
        <v>98</v>
      </c>
      <c r="BA404" s="7" t="s">
        <v>98</v>
      </c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353</v>
      </c>
      <c r="BK404" s="8">
        <v>3649.57</v>
      </c>
      <c r="BL404" s="2" t="s">
        <v>1459</v>
      </c>
      <c r="BM404" s="7"/>
      <c r="BN404" s="7"/>
      <c r="BO404" s="4"/>
      <c r="BP404" s="8"/>
      <c r="BQ404" s="4">
        <v>59</v>
      </c>
      <c r="BR404" s="8">
        <v>553.42</v>
      </c>
      <c r="BS404" s="7">
        <v>-1</v>
      </c>
      <c r="BT404" s="7">
        <v>-1</v>
      </c>
      <c r="BU404" s="2" t="s">
        <v>107</v>
      </c>
      <c r="BV404" s="2" t="s">
        <v>108</v>
      </c>
      <c r="BW404" s="2" t="s">
        <v>524</v>
      </c>
      <c r="BX404" s="2" t="s">
        <v>693</v>
      </c>
      <c r="BY404" s="2" t="s">
        <v>111</v>
      </c>
    </row>
    <row r="405">
      <c r="A405" s="2" t="s">
        <v>1460</v>
      </c>
      <c r="B405" s="2" t="s">
        <v>86</v>
      </c>
      <c r="C405" s="2" t="s">
        <v>87</v>
      </c>
      <c r="D405" s="2" t="s">
        <v>88</v>
      </c>
      <c r="E405" s="2" t="s">
        <v>1214</v>
      </c>
      <c r="F405" s="2" t="s">
        <v>1439</v>
      </c>
      <c r="G405" s="2" t="s">
        <v>1440</v>
      </c>
      <c r="H405" s="2" t="s">
        <v>1441</v>
      </c>
      <c r="I405" s="2" t="s">
        <v>1442</v>
      </c>
      <c r="J405" s="2" t="s">
        <v>93</v>
      </c>
      <c r="K405" s="2" t="s">
        <v>94</v>
      </c>
      <c r="L405" s="3">
        <v>13.2</v>
      </c>
      <c r="M405" s="3">
        <v>13.86</v>
      </c>
      <c r="N405" s="3">
        <v>29.99</v>
      </c>
      <c r="O405" s="2" t="s">
        <v>95</v>
      </c>
      <c r="P405" s="2" t="s">
        <v>150</v>
      </c>
      <c r="Q405" s="2" t="s">
        <v>97</v>
      </c>
      <c r="R405" s="2" t="s">
        <v>98</v>
      </c>
      <c r="S405" s="2" t="s">
        <v>1458</v>
      </c>
      <c r="T405" s="2" t="s">
        <v>98</v>
      </c>
      <c r="U405" s="2" t="s">
        <v>98</v>
      </c>
      <c r="V405" s="2" t="s">
        <v>617</v>
      </c>
      <c r="W405" s="2" t="s">
        <v>335</v>
      </c>
      <c r="X405" s="2" t="s">
        <v>1220</v>
      </c>
      <c r="Y405" s="2" t="s">
        <v>104</v>
      </c>
      <c r="Z405" s="4">
        <v>611</v>
      </c>
      <c r="AA405" s="4">
        <f>=ROUNDDOWN(26.5652173913043,0)</f>
      </c>
      <c r="AB405" s="5">
        <v>23</v>
      </c>
      <c r="AC405" s="2" t="s">
        <v>309</v>
      </c>
      <c r="AD405" s="4">
        <v>256</v>
      </c>
      <c r="AE405" s="4">
        <v>256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>
        <v>235</v>
      </c>
      <c r="AS405" s="8">
        <v>2754.2</v>
      </c>
      <c r="AT405" s="7">
        <v>-1</v>
      </c>
      <c r="AU405" s="7">
        <v>-1</v>
      </c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564</v>
      </c>
      <c r="BK405" s="8">
        <v>7397.83</v>
      </c>
      <c r="BL405" s="2" t="s">
        <v>559</v>
      </c>
      <c r="BM405" s="7"/>
      <c r="BN405" s="7"/>
      <c r="BO405" s="4"/>
      <c r="BP405" s="8"/>
      <c r="BQ405" s="4">
        <v>235</v>
      </c>
      <c r="BR405" s="8">
        <v>2754.2</v>
      </c>
      <c r="BS405" s="7">
        <v>-1</v>
      </c>
      <c r="BT405" s="7">
        <v>-1</v>
      </c>
      <c r="BU405" s="2" t="s">
        <v>107</v>
      </c>
      <c r="BV405" s="2" t="s">
        <v>108</v>
      </c>
      <c r="BW405" s="2" t="s">
        <v>524</v>
      </c>
      <c r="BX405" s="2" t="s">
        <v>1461</v>
      </c>
      <c r="BY405" s="2" t="s">
        <v>111</v>
      </c>
    </row>
    <row r="406">
      <c r="A406" s="2" t="s">
        <v>1462</v>
      </c>
      <c r="B406" s="2" t="s">
        <v>86</v>
      </c>
      <c r="C406" s="2" t="s">
        <v>87</v>
      </c>
      <c r="D406" s="2" t="s">
        <v>88</v>
      </c>
      <c r="E406" s="2" t="s">
        <v>1214</v>
      </c>
      <c r="F406" s="2" t="s">
        <v>1439</v>
      </c>
      <c r="G406" s="2" t="s">
        <v>1440</v>
      </c>
      <c r="H406" s="2" t="s">
        <v>1441</v>
      </c>
      <c r="I406" s="2" t="s">
        <v>1442</v>
      </c>
      <c r="J406" s="2" t="s">
        <v>113</v>
      </c>
      <c r="K406" s="2" t="s">
        <v>94</v>
      </c>
      <c r="L406" s="3">
        <v>15.75</v>
      </c>
      <c r="M406" s="3">
        <v>16.54</v>
      </c>
      <c r="N406" s="3">
        <v>34.99</v>
      </c>
      <c r="O406" s="2" t="s">
        <v>95</v>
      </c>
      <c r="P406" s="2" t="s">
        <v>150</v>
      </c>
      <c r="Q406" s="2" t="s">
        <v>97</v>
      </c>
      <c r="R406" s="2" t="s">
        <v>98</v>
      </c>
      <c r="S406" s="2" t="s">
        <v>1458</v>
      </c>
      <c r="T406" s="2" t="s">
        <v>98</v>
      </c>
      <c r="U406" s="2" t="s">
        <v>98</v>
      </c>
      <c r="V406" s="2" t="s">
        <v>617</v>
      </c>
      <c r="W406" s="2" t="s">
        <v>335</v>
      </c>
      <c r="X406" s="2" t="s">
        <v>1220</v>
      </c>
      <c r="Y406" s="2" t="s">
        <v>104</v>
      </c>
      <c r="Z406" s="4">
        <v>428</v>
      </c>
      <c r="AA406" s="4">
        <f>=ROUNDDOWN(26.75,0)</f>
      </c>
      <c r="AB406" s="5">
        <v>16</v>
      </c>
      <c r="AC406" s="2" t="s">
        <v>309</v>
      </c>
      <c r="AD406" s="4">
        <v>148</v>
      </c>
      <c r="AE406" s="4">
        <v>148</v>
      </c>
      <c r="AF406" s="6">
        <v>65</v>
      </c>
      <c r="AG406" s="6"/>
      <c r="AH406" s="7">
        <v>1</v>
      </c>
      <c r="AI406" s="4"/>
      <c r="AJ406" s="4">
        <f>=ROUNDDOWN({0},0)</f>
      </c>
      <c r="AK406" s="5">
        <v>0.4</v>
      </c>
      <c r="AL406" s="2" t="s">
        <v>98</v>
      </c>
      <c r="AM406" s="4"/>
      <c r="AN406" s="4"/>
      <c r="AO406" s="7">
        <v>0.5889</v>
      </c>
      <c r="AP406" s="4"/>
      <c r="AQ406" s="8"/>
      <c r="AR406" s="4">
        <v>97</v>
      </c>
      <c r="AS406" s="8">
        <v>1363.82</v>
      </c>
      <c r="AT406" s="7">
        <v>-1</v>
      </c>
      <c r="AU406" s="7">
        <v>-1</v>
      </c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298</v>
      </c>
      <c r="BK406" s="8">
        <v>4790.2</v>
      </c>
      <c r="BL406" s="2" t="s">
        <v>1463</v>
      </c>
      <c r="BM406" s="7"/>
      <c r="BN406" s="7"/>
      <c r="BO406" s="4"/>
      <c r="BP406" s="8"/>
      <c r="BQ406" s="4">
        <v>97</v>
      </c>
      <c r="BR406" s="8">
        <v>1363.82</v>
      </c>
      <c r="BS406" s="7">
        <v>-1</v>
      </c>
      <c r="BT406" s="7">
        <v>-1</v>
      </c>
      <c r="BU406" s="2" t="s">
        <v>107</v>
      </c>
      <c r="BV406" s="2" t="s">
        <v>108</v>
      </c>
      <c r="BW406" s="2" t="s">
        <v>524</v>
      </c>
      <c r="BX406" s="2" t="s">
        <v>1445</v>
      </c>
      <c r="BY406" s="2" t="s">
        <v>111</v>
      </c>
    </row>
    <row r="407">
      <c r="A407" s="2" t="s">
        <v>1464</v>
      </c>
      <c r="B407" s="2" t="s">
        <v>86</v>
      </c>
      <c r="C407" s="2" t="s">
        <v>87</v>
      </c>
      <c r="D407" s="2" t="s">
        <v>88</v>
      </c>
      <c r="E407" s="2" t="s">
        <v>1465</v>
      </c>
      <c r="F407" s="2" t="s">
        <v>1466</v>
      </c>
      <c r="G407" s="2" t="s">
        <v>1467</v>
      </c>
      <c r="H407" s="2" t="s">
        <v>1468</v>
      </c>
      <c r="I407" s="2" t="s">
        <v>1469</v>
      </c>
      <c r="J407" s="2" t="s">
        <v>1470</v>
      </c>
      <c r="K407" s="2" t="s">
        <v>94</v>
      </c>
      <c r="L407" s="3">
        <v>14.7</v>
      </c>
      <c r="M407" s="3">
        <v>15.44</v>
      </c>
      <c r="N407" s="3">
        <v>29.99</v>
      </c>
      <c r="O407" s="2" t="s">
        <v>95</v>
      </c>
      <c r="P407" s="2" t="s">
        <v>129</v>
      </c>
      <c r="Q407" s="2" t="s">
        <v>97</v>
      </c>
      <c r="R407" s="2" t="s">
        <v>98</v>
      </c>
      <c r="S407" s="2" t="s">
        <v>1471</v>
      </c>
      <c r="T407" s="2" t="s">
        <v>98</v>
      </c>
      <c r="U407" s="2" t="s">
        <v>98</v>
      </c>
      <c r="V407" s="2" t="s">
        <v>101</v>
      </c>
      <c r="W407" s="2" t="s">
        <v>102</v>
      </c>
      <c r="X407" s="2" t="s">
        <v>1220</v>
      </c>
      <c r="Y407" s="2" t="s">
        <v>1472</v>
      </c>
      <c r="Z407" s="4">
        <v>905</v>
      </c>
      <c r="AA407" s="4">
        <f>=ROUNDDOWN(13.9230769230769,0)</f>
      </c>
      <c r="AB407" s="5">
        <v>65</v>
      </c>
      <c r="AC407" s="2" t="s">
        <v>250</v>
      </c>
      <c r="AD407" s="4">
        <v>676</v>
      </c>
      <c r="AE407" s="4">
        <v>2160</v>
      </c>
      <c r="AF407" s="6">
        <v>65</v>
      </c>
      <c r="AG407" s="6"/>
      <c r="AH407" s="7">
        <v>1</v>
      </c>
      <c r="AI407" s="4">
        <v>6</v>
      </c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156</v>
      </c>
      <c r="AQ407" s="8">
        <v>2478.84</v>
      </c>
      <c r="AR407" s="4">
        <v>166</v>
      </c>
      <c r="AS407" s="8">
        <v>2307.4</v>
      </c>
      <c r="AT407" s="7">
        <v>-0.0602</v>
      </c>
      <c r="AU407" s="7">
        <v>0.0743</v>
      </c>
      <c r="AV407" s="4">
        <v>290</v>
      </c>
      <c r="AW407" s="8">
        <v>4700.41</v>
      </c>
      <c r="AX407" s="4">
        <v>670</v>
      </c>
      <c r="AY407" s="8">
        <v>9421.03</v>
      </c>
      <c r="AZ407" s="7">
        <v>-0.5672</v>
      </c>
      <c r="BA407" s="7">
        <v>-0.5011</v>
      </c>
      <c r="BB407" s="7">
        <v>0.5274</v>
      </c>
      <c r="BC407" s="4">
        <v>459</v>
      </c>
      <c r="BD407" s="8">
        <v>7414.44</v>
      </c>
      <c r="BE407" s="4">
        <v>670</v>
      </c>
      <c r="BF407" s="8">
        <v>9421.03</v>
      </c>
      <c r="BG407" s="7">
        <v>-0.3149</v>
      </c>
      <c r="BH407" s="7">
        <v>-0.213</v>
      </c>
      <c r="BI407" s="7">
        <v>0.634</v>
      </c>
      <c r="BJ407" s="4">
        <v>1048</v>
      </c>
      <c r="BK407" s="8">
        <v>16875.65</v>
      </c>
      <c r="BL407" s="2" t="s">
        <v>1473</v>
      </c>
      <c r="BM407" s="7">
        <v>0.1489</v>
      </c>
      <c r="BN407" s="7">
        <v>0.1469</v>
      </c>
      <c r="BO407" s="4">
        <v>156</v>
      </c>
      <c r="BP407" s="8">
        <v>2478.84</v>
      </c>
      <c r="BQ407" s="4">
        <v>166</v>
      </c>
      <c r="BR407" s="8">
        <v>2307.4</v>
      </c>
      <c r="BS407" s="7">
        <v>-0.0602</v>
      </c>
      <c r="BT407" s="7">
        <v>0.0743</v>
      </c>
      <c r="BU407" s="2" t="s">
        <v>107</v>
      </c>
      <c r="BV407" s="2" t="s">
        <v>108</v>
      </c>
      <c r="BW407" s="2" t="s">
        <v>524</v>
      </c>
      <c r="BX407" s="2" t="s">
        <v>690</v>
      </c>
      <c r="BY407" s="2" t="s">
        <v>111</v>
      </c>
    </row>
    <row r="408">
      <c r="A408" s="2" t="s">
        <v>1474</v>
      </c>
      <c r="B408" s="2" t="s">
        <v>86</v>
      </c>
      <c r="C408" s="2" t="s">
        <v>87</v>
      </c>
      <c r="D408" s="2" t="s">
        <v>88</v>
      </c>
      <c r="E408" s="2" t="s">
        <v>1465</v>
      </c>
      <c r="F408" s="2" t="s">
        <v>1466</v>
      </c>
      <c r="G408" s="2" t="s">
        <v>1467</v>
      </c>
      <c r="H408" s="2" t="s">
        <v>1468</v>
      </c>
      <c r="I408" s="2" t="s">
        <v>1469</v>
      </c>
      <c r="J408" s="2" t="s">
        <v>1475</v>
      </c>
      <c r="K408" s="2" t="s">
        <v>94</v>
      </c>
      <c r="L408" s="3">
        <v>13.23</v>
      </c>
      <c r="M408" s="3">
        <v>13.89</v>
      </c>
      <c r="N408" s="3">
        <v>26.99</v>
      </c>
      <c r="O408" s="2" t="s">
        <v>95</v>
      </c>
      <c r="P408" s="2" t="s">
        <v>150</v>
      </c>
      <c r="Q408" s="2" t="s">
        <v>97</v>
      </c>
      <c r="R408" s="2" t="s">
        <v>98</v>
      </c>
      <c r="S408" s="2" t="s">
        <v>1471</v>
      </c>
      <c r="T408" s="2" t="s">
        <v>98</v>
      </c>
      <c r="U408" s="2" t="s">
        <v>98</v>
      </c>
      <c r="V408" s="2" t="s">
        <v>101</v>
      </c>
      <c r="W408" s="2" t="s">
        <v>102</v>
      </c>
      <c r="X408" s="2" t="s">
        <v>1220</v>
      </c>
      <c r="Y408" s="2" t="s">
        <v>1472</v>
      </c>
      <c r="Z408" s="4">
        <v>238</v>
      </c>
      <c r="AA408" s="4">
        <f>=ROUNDDOWN(11.9,0)</f>
      </c>
      <c r="AB408" s="5">
        <v>20</v>
      </c>
      <c r="AC408" s="2" t="s">
        <v>250</v>
      </c>
      <c r="AD408" s="4">
        <v>68</v>
      </c>
      <c r="AE408" s="4">
        <v>560</v>
      </c>
      <c r="AF408" s="6">
        <v>65</v>
      </c>
      <c r="AG408" s="6"/>
      <c r="AH408" s="7">
        <v>1</v>
      </c>
      <c r="AI408" s="4">
        <v>2</v>
      </c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47</v>
      </c>
      <c r="AQ408" s="8">
        <v>672.1</v>
      </c>
      <c r="AR408" s="4">
        <v>157</v>
      </c>
      <c r="AS408" s="8">
        <v>1946.8</v>
      </c>
      <c r="AT408" s="7">
        <v>-0.7006</v>
      </c>
      <c r="AU408" s="7">
        <v>-0.6548</v>
      </c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0.143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324</v>
      </c>
      <c r="BK408" s="8">
        <v>4620.82</v>
      </c>
      <c r="BL408" s="2" t="s">
        <v>1476</v>
      </c>
      <c r="BM408" s="7">
        <v>0.1451</v>
      </c>
      <c r="BN408" s="7">
        <v>0.1455</v>
      </c>
      <c r="BO408" s="4">
        <v>47</v>
      </c>
      <c r="BP408" s="8">
        <v>672.1</v>
      </c>
      <c r="BQ408" s="4">
        <v>157</v>
      </c>
      <c r="BR408" s="8">
        <v>1946.8</v>
      </c>
      <c r="BS408" s="7">
        <v>-0.7006</v>
      </c>
      <c r="BT408" s="7">
        <v>-0.6548</v>
      </c>
      <c r="BU408" s="2" t="s">
        <v>107</v>
      </c>
      <c r="BV408" s="2" t="s">
        <v>108</v>
      </c>
      <c r="BW408" s="2" t="s">
        <v>524</v>
      </c>
      <c r="BX408" s="2" t="s">
        <v>1477</v>
      </c>
      <c r="BY408" s="2" t="s">
        <v>111</v>
      </c>
    </row>
    <row r="409">
      <c r="A409" s="2" t="s">
        <v>1478</v>
      </c>
      <c r="B409" s="2" t="s">
        <v>86</v>
      </c>
      <c r="C409" s="2" t="s">
        <v>87</v>
      </c>
      <c r="D409" s="2" t="s">
        <v>88</v>
      </c>
      <c r="E409" s="2" t="s">
        <v>1465</v>
      </c>
      <c r="F409" s="2" t="s">
        <v>1466</v>
      </c>
      <c r="G409" s="2" t="s">
        <v>1467</v>
      </c>
      <c r="H409" s="2" t="s">
        <v>1468</v>
      </c>
      <c r="I409" s="2" t="s">
        <v>1469</v>
      </c>
      <c r="J409" s="2" t="s">
        <v>1479</v>
      </c>
      <c r="K409" s="2" t="s">
        <v>94</v>
      </c>
      <c r="L409" s="3">
        <v>16.17</v>
      </c>
      <c r="M409" s="3">
        <v>16.98</v>
      </c>
      <c r="N409" s="3">
        <v>32.99</v>
      </c>
      <c r="O409" s="2" t="s">
        <v>95</v>
      </c>
      <c r="P409" s="2" t="s">
        <v>129</v>
      </c>
      <c r="Q409" s="2" t="s">
        <v>97</v>
      </c>
      <c r="R409" s="2" t="s">
        <v>98</v>
      </c>
      <c r="S409" s="2" t="s">
        <v>1471</v>
      </c>
      <c r="T409" s="2" t="s">
        <v>98</v>
      </c>
      <c r="U409" s="2" t="s">
        <v>98</v>
      </c>
      <c r="V409" s="2" t="s">
        <v>101</v>
      </c>
      <c r="W409" s="2" t="s">
        <v>102</v>
      </c>
      <c r="X409" s="2" t="s">
        <v>1220</v>
      </c>
      <c r="Y409" s="2" t="s">
        <v>1472</v>
      </c>
      <c r="Z409" s="4">
        <v>794</v>
      </c>
      <c r="AA409" s="4">
        <f>=ROUNDDOWN(18.9047619047619,0)</f>
      </c>
      <c r="AB409" s="5">
        <v>42</v>
      </c>
      <c r="AC409" s="2" t="s">
        <v>250</v>
      </c>
      <c r="AD409" s="4">
        <v>644</v>
      </c>
      <c r="AE409" s="4">
        <v>1380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87</v>
      </c>
      <c r="AQ409" s="8">
        <v>1549.47</v>
      </c>
      <c r="AR409" s="4">
        <v>347</v>
      </c>
      <c r="AS409" s="8">
        <v>5166.83</v>
      </c>
      <c r="AT409" s="7">
        <v>-0.7493</v>
      </c>
      <c r="AU409" s="7">
        <v>-0.7001</v>
      </c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0.3296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702</v>
      </c>
      <c r="BK409" s="8">
        <v>12131.06</v>
      </c>
      <c r="BL409" s="2" t="s">
        <v>1473</v>
      </c>
      <c r="BM409" s="7">
        <v>0.1239</v>
      </c>
      <c r="BN409" s="7">
        <v>0.1277</v>
      </c>
      <c r="BO409" s="4">
        <v>87</v>
      </c>
      <c r="BP409" s="8">
        <v>1549.47</v>
      </c>
      <c r="BQ409" s="4">
        <v>347</v>
      </c>
      <c r="BR409" s="8">
        <v>5166.83</v>
      </c>
      <c r="BS409" s="7">
        <v>-0.7493</v>
      </c>
      <c r="BT409" s="7">
        <v>-0.7001</v>
      </c>
      <c r="BU409" s="2" t="s">
        <v>107</v>
      </c>
      <c r="BV409" s="2" t="s">
        <v>108</v>
      </c>
      <c r="BW409" s="2" t="s">
        <v>524</v>
      </c>
      <c r="BX409" s="2" t="s">
        <v>1480</v>
      </c>
      <c r="BY409" s="2" t="s">
        <v>111</v>
      </c>
    </row>
    <row r="410">
      <c r="A410" s="2" t="s">
        <v>1481</v>
      </c>
      <c r="B410" s="2" t="s">
        <v>86</v>
      </c>
      <c r="C410" s="2" t="s">
        <v>87</v>
      </c>
      <c r="D410" s="2" t="s">
        <v>88</v>
      </c>
      <c r="E410" s="2" t="s">
        <v>1465</v>
      </c>
      <c r="F410" s="2" t="s">
        <v>1466</v>
      </c>
      <c r="G410" s="2" t="s">
        <v>1467</v>
      </c>
      <c r="H410" s="2" t="s">
        <v>1468</v>
      </c>
      <c r="I410" s="2" t="s">
        <v>1482</v>
      </c>
      <c r="J410" s="2" t="s">
        <v>1470</v>
      </c>
      <c r="K410" s="2" t="s">
        <v>400</v>
      </c>
      <c r="L410" s="3">
        <v>14.7</v>
      </c>
      <c r="M410" s="3">
        <v>15.44</v>
      </c>
      <c r="N410" s="3">
        <v>29.99</v>
      </c>
      <c r="O410" s="2" t="s">
        <v>95</v>
      </c>
      <c r="P410" s="2" t="s">
        <v>150</v>
      </c>
      <c r="Q410" s="2" t="s">
        <v>97</v>
      </c>
      <c r="R410" s="2" t="s">
        <v>98</v>
      </c>
      <c r="S410" s="2" t="s">
        <v>1483</v>
      </c>
      <c r="T410" s="2" t="s">
        <v>878</v>
      </c>
      <c r="U410" s="2" t="s">
        <v>100</v>
      </c>
      <c r="V410" s="2" t="s">
        <v>101</v>
      </c>
      <c r="W410" s="2" t="s">
        <v>102</v>
      </c>
      <c r="X410" s="2" t="s">
        <v>1220</v>
      </c>
      <c r="Y410" s="2" t="s">
        <v>1484</v>
      </c>
      <c r="Z410" s="4">
        <v>392</v>
      </c>
      <c r="AA410" s="4">
        <f>=ROUNDDOWN(9.8,0)</f>
      </c>
      <c r="AB410" s="5">
        <v>40</v>
      </c>
      <c r="AC410" s="2" t="s">
        <v>250</v>
      </c>
      <c r="AD410" s="4">
        <v>392</v>
      </c>
      <c r="AE410" s="4">
        <v>1108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61</v>
      </c>
      <c r="AQ410" s="8">
        <v>969.29</v>
      </c>
      <c r="AR410" s="4"/>
      <c r="AS410" s="8"/>
      <c r="AT410" s="7"/>
      <c r="AU410" s="7"/>
      <c r="AV410" s="4">
        <v>110</v>
      </c>
      <c r="AW410" s="8">
        <v>1778.11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0.5451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0.2398</v>
      </c>
      <c r="BJ410" s="4">
        <v>502</v>
      </c>
      <c r="BK410" s="8">
        <v>7992.32</v>
      </c>
      <c r="BL410" s="2" t="s">
        <v>1485</v>
      </c>
      <c r="BM410" s="7">
        <v>0.1215</v>
      </c>
      <c r="BN410" s="7">
        <v>0.1213</v>
      </c>
      <c r="BO410" s="4">
        <v>61</v>
      </c>
      <c r="BP410" s="8">
        <v>969.29</v>
      </c>
      <c r="BQ410" s="4"/>
      <c r="BR410" s="8"/>
      <c r="BS410" s="7"/>
      <c r="BT410" s="7"/>
      <c r="BU410" s="2" t="s">
        <v>107</v>
      </c>
      <c r="BV410" s="2" t="s">
        <v>108</v>
      </c>
      <c r="BW410" s="2" t="s">
        <v>171</v>
      </c>
      <c r="BX410" s="2" t="s">
        <v>1486</v>
      </c>
      <c r="BY410" s="2" t="s">
        <v>111</v>
      </c>
    </row>
    <row r="411">
      <c r="A411" s="2" t="s">
        <v>1487</v>
      </c>
      <c r="B411" s="2" t="s">
        <v>86</v>
      </c>
      <c r="C411" s="2" t="s">
        <v>87</v>
      </c>
      <c r="D411" s="2" t="s">
        <v>88</v>
      </c>
      <c r="E411" s="2" t="s">
        <v>1465</v>
      </c>
      <c r="F411" s="2" t="s">
        <v>1466</v>
      </c>
      <c r="G411" s="2" t="s">
        <v>1467</v>
      </c>
      <c r="H411" s="2" t="s">
        <v>1468</v>
      </c>
      <c r="I411" s="2" t="s">
        <v>1482</v>
      </c>
      <c r="J411" s="2" t="s">
        <v>1475</v>
      </c>
      <c r="K411" s="2" t="s">
        <v>400</v>
      </c>
      <c r="L411" s="3">
        <v>13.23</v>
      </c>
      <c r="M411" s="3">
        <v>13.89</v>
      </c>
      <c r="N411" s="3">
        <v>26.99</v>
      </c>
      <c r="O411" s="2" t="s">
        <v>95</v>
      </c>
      <c r="P411" s="2" t="s">
        <v>150</v>
      </c>
      <c r="Q411" s="2" t="s">
        <v>97</v>
      </c>
      <c r="R411" s="2" t="s">
        <v>98</v>
      </c>
      <c r="S411" s="2" t="s">
        <v>1483</v>
      </c>
      <c r="T411" s="2" t="s">
        <v>878</v>
      </c>
      <c r="U411" s="2" t="s">
        <v>100</v>
      </c>
      <c r="V411" s="2" t="s">
        <v>101</v>
      </c>
      <c r="W411" s="2" t="s">
        <v>102</v>
      </c>
      <c r="X411" s="2" t="s">
        <v>1220</v>
      </c>
      <c r="Y411" s="2" t="s">
        <v>1484</v>
      </c>
      <c r="Z411" s="4">
        <v>98</v>
      </c>
      <c r="AA411" s="4">
        <f>=ROUNDDOWN(7,0)</f>
      </c>
      <c r="AB411" s="5">
        <v>14</v>
      </c>
      <c r="AC411" s="2" t="s">
        <v>250</v>
      </c>
      <c r="AD411" s="4">
        <v>96</v>
      </c>
      <c r="AE411" s="4">
        <v>384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15</v>
      </c>
      <c r="AQ411" s="8">
        <v>214.5</v>
      </c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0.1206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161</v>
      </c>
      <c r="BK411" s="8">
        <v>2257.39</v>
      </c>
      <c r="BL411" s="2" t="s">
        <v>1488</v>
      </c>
      <c r="BM411" s="7">
        <v>0.0932</v>
      </c>
      <c r="BN411" s="7">
        <v>0.095</v>
      </c>
      <c r="BO411" s="4">
        <v>15</v>
      </c>
      <c r="BP411" s="8">
        <v>214.5</v>
      </c>
      <c r="BQ411" s="4"/>
      <c r="BR411" s="8"/>
      <c r="BS411" s="7"/>
      <c r="BT411" s="7"/>
      <c r="BU411" s="2" t="s">
        <v>107</v>
      </c>
      <c r="BV411" s="2" t="s">
        <v>108</v>
      </c>
      <c r="BW411" s="2" t="s">
        <v>171</v>
      </c>
      <c r="BX411" s="2" t="s">
        <v>1489</v>
      </c>
      <c r="BY411" s="2" t="s">
        <v>111</v>
      </c>
    </row>
    <row r="412">
      <c r="A412" s="2" t="s">
        <v>1490</v>
      </c>
      <c r="B412" s="2" t="s">
        <v>86</v>
      </c>
      <c r="C412" s="2" t="s">
        <v>87</v>
      </c>
      <c r="D412" s="2" t="s">
        <v>88</v>
      </c>
      <c r="E412" s="2" t="s">
        <v>1465</v>
      </c>
      <c r="F412" s="2" t="s">
        <v>1466</v>
      </c>
      <c r="G412" s="2" t="s">
        <v>1467</v>
      </c>
      <c r="H412" s="2" t="s">
        <v>1468</v>
      </c>
      <c r="I412" s="2" t="s">
        <v>1482</v>
      </c>
      <c r="J412" s="2" t="s">
        <v>1479</v>
      </c>
      <c r="K412" s="2" t="s">
        <v>400</v>
      </c>
      <c r="L412" s="3">
        <v>16.17</v>
      </c>
      <c r="M412" s="3">
        <v>16.98</v>
      </c>
      <c r="N412" s="3">
        <v>32.99</v>
      </c>
      <c r="O412" s="2" t="s">
        <v>95</v>
      </c>
      <c r="P412" s="2" t="s">
        <v>150</v>
      </c>
      <c r="Q412" s="2" t="s">
        <v>97</v>
      </c>
      <c r="R412" s="2" t="s">
        <v>98</v>
      </c>
      <c r="S412" s="2" t="s">
        <v>1483</v>
      </c>
      <c r="T412" s="2" t="s">
        <v>878</v>
      </c>
      <c r="U412" s="2" t="s">
        <v>100</v>
      </c>
      <c r="V412" s="2" t="s">
        <v>101</v>
      </c>
      <c r="W412" s="2" t="s">
        <v>102</v>
      </c>
      <c r="X412" s="2" t="s">
        <v>1220</v>
      </c>
      <c r="Y412" s="2" t="s">
        <v>1484</v>
      </c>
      <c r="Z412" s="4">
        <v>183</v>
      </c>
      <c r="AA412" s="4">
        <f>=ROUNDDOWN(9.24242424242424,0)</f>
      </c>
      <c r="AB412" s="5">
        <v>19.8</v>
      </c>
      <c r="AC412" s="2" t="s">
        <v>250</v>
      </c>
      <c r="AD412" s="4">
        <v>52</v>
      </c>
      <c r="AE412" s="4">
        <v>672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34</v>
      </c>
      <c r="AQ412" s="8">
        <v>594.32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0.3342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251</v>
      </c>
      <c r="BK412" s="8">
        <v>4368.63</v>
      </c>
      <c r="BL412" s="2" t="s">
        <v>846</v>
      </c>
      <c r="BM412" s="7">
        <v>0.1355</v>
      </c>
      <c r="BN412" s="7">
        <v>0.136</v>
      </c>
      <c r="BO412" s="4">
        <v>34</v>
      </c>
      <c r="BP412" s="8">
        <v>594.32</v>
      </c>
      <c r="BQ412" s="4"/>
      <c r="BR412" s="8"/>
      <c r="BS412" s="7"/>
      <c r="BT412" s="7"/>
      <c r="BU412" s="2" t="s">
        <v>107</v>
      </c>
      <c r="BV412" s="2" t="s">
        <v>108</v>
      </c>
      <c r="BW412" s="2" t="s">
        <v>171</v>
      </c>
      <c r="BX412" s="2" t="s">
        <v>172</v>
      </c>
      <c r="BY412" s="2" t="s">
        <v>111</v>
      </c>
    </row>
    <row r="413">
      <c r="A413" s="2" t="s">
        <v>1491</v>
      </c>
      <c r="B413" s="2" t="s">
        <v>86</v>
      </c>
      <c r="C413" s="2" t="s">
        <v>87</v>
      </c>
      <c r="D413" s="2" t="s">
        <v>88</v>
      </c>
      <c r="E413" s="2" t="s">
        <v>1465</v>
      </c>
      <c r="F413" s="2" t="s">
        <v>1466</v>
      </c>
      <c r="G413" s="2" t="s">
        <v>1467</v>
      </c>
      <c r="H413" s="2" t="s">
        <v>1468</v>
      </c>
      <c r="I413" s="2" t="s">
        <v>1469</v>
      </c>
      <c r="J413" s="2" t="s">
        <v>1470</v>
      </c>
      <c r="K413" s="2" t="s">
        <v>1492</v>
      </c>
      <c r="L413" s="3">
        <v>14.7</v>
      </c>
      <c r="M413" s="3">
        <v>15.44</v>
      </c>
      <c r="N413" s="3">
        <v>29.99</v>
      </c>
      <c r="O413" s="2" t="s">
        <v>95</v>
      </c>
      <c r="P413" s="2" t="s">
        <v>150</v>
      </c>
      <c r="Q413" s="2" t="s">
        <v>97</v>
      </c>
      <c r="R413" s="2" t="s">
        <v>98</v>
      </c>
      <c r="S413" s="2" t="s">
        <v>1493</v>
      </c>
      <c r="T413" s="2" t="s">
        <v>98</v>
      </c>
      <c r="U413" s="2" t="s">
        <v>1494</v>
      </c>
      <c r="V413" s="2" t="s">
        <v>101</v>
      </c>
      <c r="W413" s="2" t="s">
        <v>102</v>
      </c>
      <c r="X413" s="2" t="s">
        <v>1220</v>
      </c>
      <c r="Y413" s="2" t="s">
        <v>1495</v>
      </c>
      <c r="Z413" s="4">
        <v>152</v>
      </c>
      <c r="AA413" s="4">
        <f>=ROUNDDOWN(8.44444444444444,0)</f>
      </c>
      <c r="AB413" s="5">
        <v>18</v>
      </c>
      <c r="AC413" s="2" t="s">
        <v>373</v>
      </c>
      <c r="AD413" s="4">
        <v>332</v>
      </c>
      <c r="AE413" s="4">
        <v>332</v>
      </c>
      <c r="AF413" s="6">
        <v>65</v>
      </c>
      <c r="AG413" s="6"/>
      <c r="AH413" s="7">
        <v>1</v>
      </c>
      <c r="AI413" s="4"/>
      <c r="AJ413" s="4">
        <f>=ROUNDDOWN({0},0)</f>
      </c>
      <c r="AK413" s="5">
        <v>0.1</v>
      </c>
      <c r="AL413" s="2" t="s">
        <v>98</v>
      </c>
      <c r="AM413" s="4"/>
      <c r="AN413" s="4"/>
      <c r="AO413" s="7">
        <v>0.9</v>
      </c>
      <c r="AP413" s="4">
        <v>42</v>
      </c>
      <c r="AQ413" s="8">
        <v>667.38</v>
      </c>
      <c r="AR413" s="4"/>
      <c r="AS413" s="8"/>
      <c r="AT413" s="7"/>
      <c r="AU413" s="7"/>
      <c r="AV413" s="4">
        <v>59</v>
      </c>
      <c r="AW413" s="8">
        <v>935.92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0.7131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0.1262</v>
      </c>
      <c r="BJ413" s="4">
        <v>268</v>
      </c>
      <c r="BK413" s="8">
        <v>4318.03</v>
      </c>
      <c r="BL413" s="2" t="s">
        <v>1496</v>
      </c>
      <c r="BM413" s="7">
        <v>0.1567</v>
      </c>
      <c r="BN413" s="7">
        <v>0.1546</v>
      </c>
      <c r="BO413" s="4">
        <v>42</v>
      </c>
      <c r="BP413" s="8">
        <v>667.38</v>
      </c>
      <c r="BQ413" s="4"/>
      <c r="BR413" s="8"/>
      <c r="BS413" s="7"/>
      <c r="BT413" s="7"/>
      <c r="BU413" s="2" t="s">
        <v>107</v>
      </c>
      <c r="BV413" s="2" t="s">
        <v>108</v>
      </c>
      <c r="BW413" s="2" t="s">
        <v>134</v>
      </c>
      <c r="BX413" s="2" t="s">
        <v>293</v>
      </c>
      <c r="BY413" s="2" t="s">
        <v>111</v>
      </c>
    </row>
    <row r="414">
      <c r="A414" s="2" t="s">
        <v>1497</v>
      </c>
      <c r="B414" s="2" t="s">
        <v>86</v>
      </c>
      <c r="C414" s="2" t="s">
        <v>87</v>
      </c>
      <c r="D414" s="2" t="s">
        <v>88</v>
      </c>
      <c r="E414" s="2" t="s">
        <v>1465</v>
      </c>
      <c r="F414" s="2" t="s">
        <v>1466</v>
      </c>
      <c r="G414" s="2" t="s">
        <v>1467</v>
      </c>
      <c r="H414" s="2" t="s">
        <v>1468</v>
      </c>
      <c r="I414" s="2" t="s">
        <v>1469</v>
      </c>
      <c r="J414" s="2" t="s">
        <v>1475</v>
      </c>
      <c r="K414" s="2" t="s">
        <v>1492</v>
      </c>
      <c r="L414" s="3">
        <v>13.23</v>
      </c>
      <c r="M414" s="3">
        <v>13.89</v>
      </c>
      <c r="N414" s="3">
        <v>26.99</v>
      </c>
      <c r="O414" s="2" t="s">
        <v>95</v>
      </c>
      <c r="P414" s="2" t="s">
        <v>220</v>
      </c>
      <c r="Q414" s="2" t="s">
        <v>97</v>
      </c>
      <c r="R414" s="2" t="s">
        <v>98</v>
      </c>
      <c r="S414" s="2" t="s">
        <v>1493</v>
      </c>
      <c r="T414" s="2" t="s">
        <v>98</v>
      </c>
      <c r="U414" s="2" t="s">
        <v>1494</v>
      </c>
      <c r="V414" s="2" t="s">
        <v>101</v>
      </c>
      <c r="W414" s="2" t="s">
        <v>102</v>
      </c>
      <c r="X414" s="2" t="s">
        <v>1220</v>
      </c>
      <c r="Y414" s="2" t="s">
        <v>1495</v>
      </c>
      <c r="Z414" s="4">
        <v>8</v>
      </c>
      <c r="AA414" s="4">
        <f>=ROUNDDOWN(0.8,0)</f>
      </c>
      <c r="AB414" s="5">
        <v>10</v>
      </c>
      <c r="AC414" s="2" t="s">
        <v>373</v>
      </c>
      <c r="AD414" s="4">
        <v>260</v>
      </c>
      <c r="AE414" s="4">
        <v>260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9</v>
      </c>
      <c r="AQ414" s="8">
        <v>128.7</v>
      </c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0.1375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104</v>
      </c>
      <c r="BK414" s="8">
        <v>1489.77</v>
      </c>
      <c r="BL414" s="2" t="s">
        <v>1498</v>
      </c>
      <c r="BM414" s="7">
        <v>0.0865</v>
      </c>
      <c r="BN414" s="7">
        <v>0.0864</v>
      </c>
      <c r="BO414" s="4">
        <v>9</v>
      </c>
      <c r="BP414" s="8">
        <v>128.7</v>
      </c>
      <c r="BQ414" s="4"/>
      <c r="BR414" s="8"/>
      <c r="BS414" s="7"/>
      <c r="BT414" s="7"/>
      <c r="BU414" s="2" t="s">
        <v>107</v>
      </c>
      <c r="BV414" s="2" t="s">
        <v>108</v>
      </c>
      <c r="BW414" s="2" t="s">
        <v>134</v>
      </c>
      <c r="BX414" s="2" t="s">
        <v>990</v>
      </c>
      <c r="BY414" s="2" t="s">
        <v>111</v>
      </c>
    </row>
    <row r="415">
      <c r="A415" s="2" t="s">
        <v>1499</v>
      </c>
      <c r="B415" s="2" t="s">
        <v>86</v>
      </c>
      <c r="C415" s="2" t="s">
        <v>87</v>
      </c>
      <c r="D415" s="2" t="s">
        <v>88</v>
      </c>
      <c r="E415" s="2" t="s">
        <v>1465</v>
      </c>
      <c r="F415" s="2" t="s">
        <v>1466</v>
      </c>
      <c r="G415" s="2" t="s">
        <v>1467</v>
      </c>
      <c r="H415" s="2" t="s">
        <v>1468</v>
      </c>
      <c r="I415" s="2" t="s">
        <v>1469</v>
      </c>
      <c r="J415" s="2" t="s">
        <v>1479</v>
      </c>
      <c r="K415" s="2" t="s">
        <v>1492</v>
      </c>
      <c r="L415" s="3">
        <v>16.17</v>
      </c>
      <c r="M415" s="3">
        <v>16.98</v>
      </c>
      <c r="N415" s="3">
        <v>32.99</v>
      </c>
      <c r="O415" s="2" t="s">
        <v>95</v>
      </c>
      <c r="P415" s="2" t="s">
        <v>150</v>
      </c>
      <c r="Q415" s="2" t="s">
        <v>97</v>
      </c>
      <c r="R415" s="2" t="s">
        <v>98</v>
      </c>
      <c r="S415" s="2" t="s">
        <v>1493</v>
      </c>
      <c r="T415" s="2" t="s">
        <v>98</v>
      </c>
      <c r="U415" s="2" t="s">
        <v>1494</v>
      </c>
      <c r="V415" s="2" t="s">
        <v>101</v>
      </c>
      <c r="W415" s="2" t="s">
        <v>102</v>
      </c>
      <c r="X415" s="2" t="s">
        <v>1220</v>
      </c>
      <c r="Y415" s="2" t="s">
        <v>1495</v>
      </c>
      <c r="Z415" s="4">
        <v>13</v>
      </c>
      <c r="AA415" s="4">
        <f>=ROUNDDOWN(1.85714285714286,0)</f>
      </c>
      <c r="AB415" s="5">
        <v>7</v>
      </c>
      <c r="AC415" s="2" t="s">
        <v>373</v>
      </c>
      <c r="AD415" s="4">
        <v>208</v>
      </c>
      <c r="AE415" s="4">
        <v>208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8</v>
      </c>
      <c r="AQ415" s="8">
        <v>139.84</v>
      </c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0.1494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134</v>
      </c>
      <c r="BK415" s="8">
        <v>2363.42</v>
      </c>
      <c r="BL415" s="2" t="s">
        <v>1496</v>
      </c>
      <c r="BM415" s="7">
        <v>0.0597</v>
      </c>
      <c r="BN415" s="7">
        <v>0.0592</v>
      </c>
      <c r="BO415" s="4">
        <v>8</v>
      </c>
      <c r="BP415" s="8">
        <v>139.84</v>
      </c>
      <c r="BQ415" s="4"/>
      <c r="BR415" s="8"/>
      <c r="BS415" s="7"/>
      <c r="BT415" s="7"/>
      <c r="BU415" s="2" t="s">
        <v>107</v>
      </c>
      <c r="BV415" s="2" t="s">
        <v>108</v>
      </c>
      <c r="BW415" s="2" t="s">
        <v>134</v>
      </c>
      <c r="BX415" s="2" t="s">
        <v>194</v>
      </c>
      <c r="BY415" s="2" t="s">
        <v>111</v>
      </c>
    </row>
    <row r="416">
      <c r="A416" s="2" t="s">
        <v>1500</v>
      </c>
      <c r="B416" s="2" t="s">
        <v>86</v>
      </c>
      <c r="C416" s="2" t="s">
        <v>87</v>
      </c>
      <c r="D416" s="2" t="s">
        <v>88</v>
      </c>
      <c r="E416" s="2" t="s">
        <v>1465</v>
      </c>
      <c r="F416" s="2" t="s">
        <v>1501</v>
      </c>
      <c r="G416" s="2" t="s">
        <v>1502</v>
      </c>
      <c r="H416" s="2" t="s">
        <v>1430</v>
      </c>
      <c r="I416" s="2" t="s">
        <v>1503</v>
      </c>
      <c r="J416" s="2" t="s">
        <v>809</v>
      </c>
      <c r="K416" s="2" t="s">
        <v>1504</v>
      </c>
      <c r="L416" s="3">
        <v>15.05</v>
      </c>
      <c r="M416" s="3">
        <v>15.8</v>
      </c>
      <c r="N416" s="3">
        <v>34.99</v>
      </c>
      <c r="O416" s="2" t="s">
        <v>368</v>
      </c>
      <c r="P416" s="2" t="s">
        <v>215</v>
      </c>
      <c r="Q416" s="2" t="s">
        <v>97</v>
      </c>
      <c r="R416" s="2" t="s">
        <v>98</v>
      </c>
      <c r="S416" s="2" t="s">
        <v>1505</v>
      </c>
      <c r="T416" s="2" t="s">
        <v>98</v>
      </c>
      <c r="U416" s="2" t="s">
        <v>98</v>
      </c>
      <c r="V416" s="2" t="s">
        <v>101</v>
      </c>
      <c r="W416" s="2" t="s">
        <v>335</v>
      </c>
      <c r="X416" s="2" t="s">
        <v>98</v>
      </c>
      <c r="Y416" s="2" t="s">
        <v>1506</v>
      </c>
      <c r="Z416" s="4">
        <v>3</v>
      </c>
      <c r="AA416" s="4">
        <f>=ROUNDDOWN(0.810810810810811,0)</f>
      </c>
      <c r="AB416" s="5">
        <v>3.7</v>
      </c>
      <c r="AC416" s="2" t="s">
        <v>98</v>
      </c>
      <c r="AD416" s="4"/>
      <c r="AE416" s="4"/>
      <c r="AF416" s="6"/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13</v>
      </c>
      <c r="AS416" s="8">
        <v>182.39</v>
      </c>
      <c r="AT416" s="7">
        <v>-1</v>
      </c>
      <c r="AU416" s="7">
        <v>-1</v>
      </c>
      <c r="AV416" s="4">
        <v>51</v>
      </c>
      <c r="AW416" s="8">
        <v>1065</v>
      </c>
      <c r="AX416" s="4">
        <v>133</v>
      </c>
      <c r="AY416" s="8">
        <v>2282.51</v>
      </c>
      <c r="AZ416" s="7">
        <v>-0.6165</v>
      </c>
      <c r="BA416" s="7">
        <v>-0.5334</v>
      </c>
      <c r="BB416" s="7"/>
      <c r="BC416" s="4">
        <v>113</v>
      </c>
      <c r="BD416" s="8">
        <v>2350</v>
      </c>
      <c r="BE416" s="4">
        <v>356</v>
      </c>
      <c r="BF416" s="8">
        <v>5904.94</v>
      </c>
      <c r="BG416" s="7">
        <v>-0.6826</v>
      </c>
      <c r="BH416" s="7">
        <v>-0.602</v>
      </c>
      <c r="BI416" s="7">
        <v>0.4532</v>
      </c>
      <c r="BJ416" s="4">
        <v>46</v>
      </c>
      <c r="BK416" s="8">
        <v>650.54</v>
      </c>
      <c r="BL416" s="2" t="s">
        <v>1507</v>
      </c>
      <c r="BM416" s="7"/>
      <c r="BN416" s="7"/>
      <c r="BO416" s="4"/>
      <c r="BP416" s="8"/>
      <c r="BQ416" s="4">
        <v>13</v>
      </c>
      <c r="BR416" s="8">
        <v>182.39</v>
      </c>
      <c r="BS416" s="7">
        <v>-1</v>
      </c>
      <c r="BT416" s="7">
        <v>-1</v>
      </c>
      <c r="BU416" s="2" t="s">
        <v>211</v>
      </c>
      <c r="BV416" s="2" t="s">
        <v>352</v>
      </c>
      <c r="BW416" s="2" t="s">
        <v>1508</v>
      </c>
      <c r="BX416" s="2" t="s">
        <v>1509</v>
      </c>
      <c r="BY416" s="2" t="s">
        <v>111</v>
      </c>
    </row>
    <row r="417">
      <c r="A417" s="2" t="s">
        <v>1510</v>
      </c>
      <c r="B417" s="2" t="s">
        <v>86</v>
      </c>
      <c r="C417" s="2" t="s">
        <v>87</v>
      </c>
      <c r="D417" s="2" t="s">
        <v>88</v>
      </c>
      <c r="E417" s="2" t="s">
        <v>1465</v>
      </c>
      <c r="F417" s="2" t="s">
        <v>1501</v>
      </c>
      <c r="G417" s="2" t="s">
        <v>1502</v>
      </c>
      <c r="H417" s="2" t="s">
        <v>1430</v>
      </c>
      <c r="I417" s="2" t="s">
        <v>1503</v>
      </c>
      <c r="J417" s="2" t="s">
        <v>814</v>
      </c>
      <c r="K417" s="2" t="s">
        <v>1504</v>
      </c>
      <c r="L417" s="3">
        <v>17.6</v>
      </c>
      <c r="M417" s="3">
        <v>18.48</v>
      </c>
      <c r="N417" s="3">
        <v>39.99</v>
      </c>
      <c r="O417" s="2" t="s">
        <v>95</v>
      </c>
      <c r="P417" s="2" t="s">
        <v>129</v>
      </c>
      <c r="Q417" s="2" t="s">
        <v>97</v>
      </c>
      <c r="R417" s="2" t="s">
        <v>98</v>
      </c>
      <c r="S417" s="2" t="s">
        <v>1505</v>
      </c>
      <c r="T417" s="2" t="s">
        <v>98</v>
      </c>
      <c r="U417" s="2" t="s">
        <v>98</v>
      </c>
      <c r="V417" s="2" t="s">
        <v>101</v>
      </c>
      <c r="W417" s="2" t="s">
        <v>335</v>
      </c>
      <c r="X417" s="2" t="s">
        <v>1220</v>
      </c>
      <c r="Y417" s="2" t="s">
        <v>1506</v>
      </c>
      <c r="Z417" s="4">
        <v>63</v>
      </c>
      <c r="AA417" s="4">
        <f>=ROUNDDOWN(6.3,0)</f>
      </c>
      <c r="AB417" s="5">
        <v>10</v>
      </c>
      <c r="AC417" s="2" t="s">
        <v>376</v>
      </c>
      <c r="AD417" s="4">
        <v>156</v>
      </c>
      <c r="AE417" s="4">
        <v>316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33</v>
      </c>
      <c r="AQ417" s="8">
        <v>660</v>
      </c>
      <c r="AR417" s="4">
        <v>65</v>
      </c>
      <c r="AS417" s="8">
        <v>1064.05</v>
      </c>
      <c r="AT417" s="7">
        <v>-0.4923</v>
      </c>
      <c r="AU417" s="7">
        <v>-0.3797</v>
      </c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0.6197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 t="s">
        <v>98</v>
      </c>
      <c r="BJ417" s="4">
        <v>185</v>
      </c>
      <c r="BK417" s="8">
        <v>3491.51</v>
      </c>
      <c r="BL417" s="2" t="s">
        <v>405</v>
      </c>
      <c r="BM417" s="7">
        <v>0.1784</v>
      </c>
      <c r="BN417" s="7">
        <v>0.189</v>
      </c>
      <c r="BO417" s="4">
        <v>33</v>
      </c>
      <c r="BP417" s="8">
        <v>660</v>
      </c>
      <c r="BQ417" s="4">
        <v>65</v>
      </c>
      <c r="BR417" s="8">
        <v>1064.05</v>
      </c>
      <c r="BS417" s="7">
        <v>-0.4923</v>
      </c>
      <c r="BT417" s="7">
        <v>-0.3797</v>
      </c>
      <c r="BU417" s="2" t="s">
        <v>107</v>
      </c>
      <c r="BV417" s="2" t="s">
        <v>108</v>
      </c>
      <c r="BW417" s="2" t="s">
        <v>1508</v>
      </c>
      <c r="BX417" s="2" t="s">
        <v>1511</v>
      </c>
      <c r="BY417" s="2" t="s">
        <v>111</v>
      </c>
    </row>
    <row r="418">
      <c r="A418" s="2" t="s">
        <v>1512</v>
      </c>
      <c r="B418" s="2" t="s">
        <v>86</v>
      </c>
      <c r="C418" s="2" t="s">
        <v>87</v>
      </c>
      <c r="D418" s="2" t="s">
        <v>88</v>
      </c>
      <c r="E418" s="2" t="s">
        <v>1465</v>
      </c>
      <c r="F418" s="2" t="s">
        <v>1501</v>
      </c>
      <c r="G418" s="2" t="s">
        <v>1502</v>
      </c>
      <c r="H418" s="2" t="s">
        <v>1430</v>
      </c>
      <c r="I418" s="2" t="s">
        <v>1503</v>
      </c>
      <c r="J418" s="2" t="s">
        <v>1513</v>
      </c>
      <c r="K418" s="2" t="s">
        <v>1504</v>
      </c>
      <c r="L418" s="3">
        <v>20.25</v>
      </c>
      <c r="M418" s="3">
        <v>21.26</v>
      </c>
      <c r="N418" s="3">
        <v>44.99</v>
      </c>
      <c r="O418" s="2" t="s">
        <v>95</v>
      </c>
      <c r="P418" s="2" t="s">
        <v>129</v>
      </c>
      <c r="Q418" s="2" t="s">
        <v>97</v>
      </c>
      <c r="R418" s="2" t="s">
        <v>98</v>
      </c>
      <c r="S418" s="2" t="s">
        <v>1505</v>
      </c>
      <c r="T418" s="2" t="s">
        <v>98</v>
      </c>
      <c r="U418" s="2" t="s">
        <v>98</v>
      </c>
      <c r="V418" s="2" t="s">
        <v>101</v>
      </c>
      <c r="W418" s="2" t="s">
        <v>335</v>
      </c>
      <c r="X418" s="2" t="s">
        <v>1220</v>
      </c>
      <c r="Y418" s="2" t="s">
        <v>1506</v>
      </c>
      <c r="Z418" s="4">
        <v>90</v>
      </c>
      <c r="AA418" s="4">
        <f>=ROUNDDOWN(18,0)</f>
      </c>
      <c r="AB418" s="5">
        <v>5</v>
      </c>
      <c r="AC418" s="2" t="s">
        <v>376</v>
      </c>
      <c r="AD418" s="4">
        <v>52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18</v>
      </c>
      <c r="AQ418" s="8">
        <v>405</v>
      </c>
      <c r="AR418" s="4">
        <v>52</v>
      </c>
      <c r="AS418" s="8">
        <v>972.92</v>
      </c>
      <c r="AT418" s="7">
        <v>-0.6538</v>
      </c>
      <c r="AU418" s="7">
        <v>-0.5837</v>
      </c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0.3803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85</v>
      </c>
      <c r="BK418" s="8">
        <v>1813.11</v>
      </c>
      <c r="BL418" s="2" t="s">
        <v>1514</v>
      </c>
      <c r="BM418" s="7">
        <v>0.2118</v>
      </c>
      <c r="BN418" s="7">
        <v>0.2234</v>
      </c>
      <c r="BO418" s="4">
        <v>18</v>
      </c>
      <c r="BP418" s="8">
        <v>405</v>
      </c>
      <c r="BQ418" s="4">
        <v>52</v>
      </c>
      <c r="BR418" s="8">
        <v>972.92</v>
      </c>
      <c r="BS418" s="7">
        <v>-0.6538</v>
      </c>
      <c r="BT418" s="7">
        <v>-0.5837</v>
      </c>
      <c r="BU418" s="2" t="s">
        <v>107</v>
      </c>
      <c r="BV418" s="2" t="s">
        <v>108</v>
      </c>
      <c r="BW418" s="2" t="s">
        <v>1508</v>
      </c>
      <c r="BX418" s="2" t="s">
        <v>1515</v>
      </c>
      <c r="BY418" s="2" t="s">
        <v>111</v>
      </c>
    </row>
    <row r="419">
      <c r="A419" s="2" t="s">
        <v>1516</v>
      </c>
      <c r="B419" s="2" t="s">
        <v>86</v>
      </c>
      <c r="C419" s="2" t="s">
        <v>87</v>
      </c>
      <c r="D419" s="2" t="s">
        <v>88</v>
      </c>
      <c r="E419" s="2" t="s">
        <v>1465</v>
      </c>
      <c r="F419" s="2" t="s">
        <v>1501</v>
      </c>
      <c r="G419" s="2" t="s">
        <v>1502</v>
      </c>
      <c r="H419" s="2" t="s">
        <v>1430</v>
      </c>
      <c r="I419" s="2" t="s">
        <v>1517</v>
      </c>
      <c r="J419" s="2" t="s">
        <v>1518</v>
      </c>
      <c r="K419" s="2" t="s">
        <v>1504</v>
      </c>
      <c r="L419" s="3">
        <v>20.25</v>
      </c>
      <c r="M419" s="3">
        <v>21.26</v>
      </c>
      <c r="N419" s="3">
        <v>44.99</v>
      </c>
      <c r="O419" s="2" t="s">
        <v>368</v>
      </c>
      <c r="P419" s="2" t="s">
        <v>465</v>
      </c>
      <c r="Q419" s="2" t="s">
        <v>97</v>
      </c>
      <c r="R419" s="2" t="s">
        <v>98</v>
      </c>
      <c r="S419" s="2" t="s">
        <v>1505</v>
      </c>
      <c r="T419" s="2" t="s">
        <v>98</v>
      </c>
      <c r="U419" s="2" t="s">
        <v>98</v>
      </c>
      <c r="V419" s="2" t="s">
        <v>101</v>
      </c>
      <c r="W419" s="2" t="s">
        <v>335</v>
      </c>
      <c r="X419" s="2" t="s">
        <v>98</v>
      </c>
      <c r="Y419" s="2" t="s">
        <v>1506</v>
      </c>
      <c r="Z419" s="4"/>
      <c r="AA419" s="4">
        <f>=ROUNDDOWN({0},0)</f>
      </c>
      <c r="AB419" s="5"/>
      <c r="AC419" s="2" t="s">
        <v>98</v>
      </c>
      <c r="AD419" s="4"/>
      <c r="AE419" s="4"/>
      <c r="AF419" s="6"/>
      <c r="AG419" s="6"/>
      <c r="AH419" s="7">
        <v>0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>
        <v>3</v>
      </c>
      <c r="AS419" s="8">
        <v>63.15</v>
      </c>
      <c r="AT419" s="7">
        <v>-1</v>
      </c>
      <c r="AU419" s="7">
        <v>-1</v>
      </c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 t="s">
        <v>98</v>
      </c>
      <c r="BJ419" s="4"/>
      <c r="BK419" s="8"/>
      <c r="BL419" s="2" t="s">
        <v>1519</v>
      </c>
      <c r="BM419" s="7"/>
      <c r="BN419" s="7"/>
      <c r="BO419" s="4"/>
      <c r="BP419" s="8"/>
      <c r="BQ419" s="4">
        <v>3</v>
      </c>
      <c r="BR419" s="8">
        <v>63.15</v>
      </c>
      <c r="BS419" s="7">
        <v>-1</v>
      </c>
      <c r="BT419" s="7">
        <v>-1</v>
      </c>
      <c r="BU419" s="2" t="s">
        <v>211</v>
      </c>
      <c r="BV419" s="2" t="s">
        <v>352</v>
      </c>
      <c r="BW419" s="2" t="s">
        <v>1508</v>
      </c>
      <c r="BX419" s="2" t="s">
        <v>1520</v>
      </c>
      <c r="BY419" s="2" t="s">
        <v>111</v>
      </c>
    </row>
    <row r="420">
      <c r="A420" s="2" t="s">
        <v>1521</v>
      </c>
      <c r="B420" s="2" t="s">
        <v>86</v>
      </c>
      <c r="C420" s="2" t="s">
        <v>87</v>
      </c>
      <c r="D420" s="2" t="s">
        <v>88</v>
      </c>
      <c r="E420" s="2" t="s">
        <v>1465</v>
      </c>
      <c r="F420" s="2" t="s">
        <v>1501</v>
      </c>
      <c r="G420" s="2" t="s">
        <v>1502</v>
      </c>
      <c r="H420" s="2" t="s">
        <v>1430</v>
      </c>
      <c r="I420" s="2" t="s">
        <v>1503</v>
      </c>
      <c r="J420" s="2" t="s">
        <v>809</v>
      </c>
      <c r="K420" s="2" t="s">
        <v>94</v>
      </c>
      <c r="L420" s="3">
        <v>15.05</v>
      </c>
      <c r="M420" s="3">
        <v>15.8</v>
      </c>
      <c r="N420" s="3">
        <v>34.99</v>
      </c>
      <c r="O420" s="2" t="s">
        <v>368</v>
      </c>
      <c r="P420" s="2" t="s">
        <v>215</v>
      </c>
      <c r="Q420" s="2" t="s">
        <v>97</v>
      </c>
      <c r="R420" s="2" t="s">
        <v>98</v>
      </c>
      <c r="S420" s="2" t="s">
        <v>1522</v>
      </c>
      <c r="T420" s="2" t="s">
        <v>98</v>
      </c>
      <c r="U420" s="2" t="s">
        <v>98</v>
      </c>
      <c r="V420" s="2" t="s">
        <v>101</v>
      </c>
      <c r="W420" s="2" t="s">
        <v>335</v>
      </c>
      <c r="X420" s="2" t="s">
        <v>98</v>
      </c>
      <c r="Y420" s="2" t="s">
        <v>1506</v>
      </c>
      <c r="Z420" s="4"/>
      <c r="AA420" s="4">
        <f>=ROUNDDOWN({0},0)</f>
      </c>
      <c r="AB420" s="5"/>
      <c r="AC420" s="2" t="s">
        <v>98</v>
      </c>
      <c r="AD420" s="4"/>
      <c r="AE420" s="4"/>
      <c r="AF420" s="6"/>
      <c r="AG420" s="6"/>
      <c r="AH420" s="7">
        <v>0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33</v>
      </c>
      <c r="AS420" s="8">
        <v>462.99</v>
      </c>
      <c r="AT420" s="7">
        <v>-1</v>
      </c>
      <c r="AU420" s="7">
        <v>-1</v>
      </c>
      <c r="AV420" s="4">
        <v>22</v>
      </c>
      <c r="AW420" s="8">
        <v>455</v>
      </c>
      <c r="AX420" s="4">
        <v>108</v>
      </c>
      <c r="AY420" s="8">
        <v>1721.16</v>
      </c>
      <c r="AZ420" s="7">
        <v>-0.7963</v>
      </c>
      <c r="BA420" s="7">
        <v>-0.7356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0.1936</v>
      </c>
      <c r="BJ420" s="4"/>
      <c r="BK420" s="8"/>
      <c r="BL420" s="2" t="s">
        <v>1523</v>
      </c>
      <c r="BM420" s="7"/>
      <c r="BN420" s="7"/>
      <c r="BO420" s="4"/>
      <c r="BP420" s="8"/>
      <c r="BQ420" s="4">
        <v>33</v>
      </c>
      <c r="BR420" s="8">
        <v>462.99</v>
      </c>
      <c r="BS420" s="7">
        <v>-1</v>
      </c>
      <c r="BT420" s="7">
        <v>-1</v>
      </c>
      <c r="BU420" s="2" t="s">
        <v>211</v>
      </c>
      <c r="BV420" s="2" t="s">
        <v>352</v>
      </c>
      <c r="BW420" s="2" t="s">
        <v>1508</v>
      </c>
      <c r="BX420" s="2" t="s">
        <v>1524</v>
      </c>
      <c r="BY420" s="2" t="s">
        <v>111</v>
      </c>
    </row>
    <row r="421">
      <c r="A421" s="2" t="s">
        <v>1525</v>
      </c>
      <c r="B421" s="2" t="s">
        <v>86</v>
      </c>
      <c r="C421" s="2" t="s">
        <v>87</v>
      </c>
      <c r="D421" s="2" t="s">
        <v>88</v>
      </c>
      <c r="E421" s="2" t="s">
        <v>1465</v>
      </c>
      <c r="F421" s="2" t="s">
        <v>1501</v>
      </c>
      <c r="G421" s="2" t="s">
        <v>1502</v>
      </c>
      <c r="H421" s="2" t="s">
        <v>1430</v>
      </c>
      <c r="I421" s="2" t="s">
        <v>1503</v>
      </c>
      <c r="J421" s="2" t="s">
        <v>814</v>
      </c>
      <c r="K421" s="2" t="s">
        <v>94</v>
      </c>
      <c r="L421" s="3">
        <v>17.6</v>
      </c>
      <c r="M421" s="3">
        <v>18.48</v>
      </c>
      <c r="N421" s="3">
        <v>39.99</v>
      </c>
      <c r="O421" s="2" t="s">
        <v>95</v>
      </c>
      <c r="P421" s="2" t="s">
        <v>150</v>
      </c>
      <c r="Q421" s="2" t="s">
        <v>97</v>
      </c>
      <c r="R421" s="2" t="s">
        <v>98</v>
      </c>
      <c r="S421" s="2" t="s">
        <v>1522</v>
      </c>
      <c r="T421" s="2" t="s">
        <v>98</v>
      </c>
      <c r="U421" s="2" t="s">
        <v>98</v>
      </c>
      <c r="V421" s="2" t="s">
        <v>101</v>
      </c>
      <c r="W421" s="2" t="s">
        <v>335</v>
      </c>
      <c r="X421" s="2" t="s">
        <v>1220</v>
      </c>
      <c r="Y421" s="2" t="s">
        <v>1506</v>
      </c>
      <c r="Z421" s="4">
        <v>192</v>
      </c>
      <c r="AA421" s="4">
        <f>=ROUNDDOWN(28.2352941176471,0)</f>
      </c>
      <c r="AB421" s="5">
        <v>6.8</v>
      </c>
      <c r="AC421" s="2" t="s">
        <v>253</v>
      </c>
      <c r="AD421" s="4">
        <v>192</v>
      </c>
      <c r="AE421" s="4">
        <v>300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16</v>
      </c>
      <c r="AQ421" s="8">
        <v>320</v>
      </c>
      <c r="AR421" s="4">
        <v>62</v>
      </c>
      <c r="AS421" s="8">
        <v>1014.94</v>
      </c>
      <c r="AT421" s="7">
        <v>-0.7419</v>
      </c>
      <c r="AU421" s="7">
        <v>-0.6847</v>
      </c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0.7033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 t="s">
        <v>98</v>
      </c>
      <c r="BJ421" s="4">
        <v>106</v>
      </c>
      <c r="BK421" s="8">
        <v>2007.85</v>
      </c>
      <c r="BL421" s="2" t="s">
        <v>549</v>
      </c>
      <c r="BM421" s="7">
        <v>0.1509</v>
      </c>
      <c r="BN421" s="7">
        <v>0.1594</v>
      </c>
      <c r="BO421" s="4">
        <v>16</v>
      </c>
      <c r="BP421" s="8">
        <v>320</v>
      </c>
      <c r="BQ421" s="4">
        <v>62</v>
      </c>
      <c r="BR421" s="8">
        <v>1014.94</v>
      </c>
      <c r="BS421" s="7">
        <v>-0.7419</v>
      </c>
      <c r="BT421" s="7">
        <v>-0.6847</v>
      </c>
      <c r="BU421" s="2" t="s">
        <v>107</v>
      </c>
      <c r="BV421" s="2" t="s">
        <v>108</v>
      </c>
      <c r="BW421" s="2" t="s">
        <v>1508</v>
      </c>
      <c r="BX421" s="2" t="s">
        <v>1526</v>
      </c>
      <c r="BY421" s="2" t="s">
        <v>111</v>
      </c>
    </row>
    <row r="422">
      <c r="A422" s="2" t="s">
        <v>1527</v>
      </c>
      <c r="B422" s="2" t="s">
        <v>86</v>
      </c>
      <c r="C422" s="2" t="s">
        <v>87</v>
      </c>
      <c r="D422" s="2" t="s">
        <v>88</v>
      </c>
      <c r="E422" s="2" t="s">
        <v>1465</v>
      </c>
      <c r="F422" s="2" t="s">
        <v>1501</v>
      </c>
      <c r="G422" s="2" t="s">
        <v>1502</v>
      </c>
      <c r="H422" s="2" t="s">
        <v>1430</v>
      </c>
      <c r="I422" s="2" t="s">
        <v>1503</v>
      </c>
      <c r="J422" s="2" t="s">
        <v>1513</v>
      </c>
      <c r="K422" s="2" t="s">
        <v>94</v>
      </c>
      <c r="L422" s="3">
        <v>20.25</v>
      </c>
      <c r="M422" s="3">
        <v>21.26</v>
      </c>
      <c r="N422" s="3">
        <v>44.99</v>
      </c>
      <c r="O422" s="2" t="s">
        <v>95</v>
      </c>
      <c r="P422" s="2" t="s">
        <v>150</v>
      </c>
      <c r="Q422" s="2" t="s">
        <v>97</v>
      </c>
      <c r="R422" s="2" t="s">
        <v>98</v>
      </c>
      <c r="S422" s="2" t="s">
        <v>1522</v>
      </c>
      <c r="T422" s="2" t="s">
        <v>98</v>
      </c>
      <c r="U422" s="2" t="s">
        <v>98</v>
      </c>
      <c r="V422" s="2" t="s">
        <v>101</v>
      </c>
      <c r="W422" s="2" t="s">
        <v>335</v>
      </c>
      <c r="X422" s="2" t="s">
        <v>1220</v>
      </c>
      <c r="Y422" s="2" t="s">
        <v>1506</v>
      </c>
      <c r="Z422" s="4">
        <v>196</v>
      </c>
      <c r="AA422" s="4">
        <f>=ROUNDDOWN(28,0)</f>
      </c>
      <c r="AB422" s="5">
        <v>7</v>
      </c>
      <c r="AC422" s="2" t="s">
        <v>253</v>
      </c>
      <c r="AD422" s="4">
        <v>80</v>
      </c>
      <c r="AE422" s="4">
        <v>80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6</v>
      </c>
      <c r="AQ422" s="8">
        <v>135</v>
      </c>
      <c r="AR422" s="4">
        <v>13</v>
      </c>
      <c r="AS422" s="8">
        <v>243.23</v>
      </c>
      <c r="AT422" s="7">
        <v>-0.5385</v>
      </c>
      <c r="AU422" s="7">
        <v>-0.445</v>
      </c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0.2967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107</v>
      </c>
      <c r="BK422" s="8">
        <v>2256.88</v>
      </c>
      <c r="BL422" s="2" t="s">
        <v>1528</v>
      </c>
      <c r="BM422" s="7">
        <v>0.0561</v>
      </c>
      <c r="BN422" s="7">
        <v>0.0598</v>
      </c>
      <c r="BO422" s="4">
        <v>6</v>
      </c>
      <c r="BP422" s="8">
        <v>135</v>
      </c>
      <c r="BQ422" s="4">
        <v>13</v>
      </c>
      <c r="BR422" s="8">
        <v>243.23</v>
      </c>
      <c r="BS422" s="7">
        <v>-0.5385</v>
      </c>
      <c r="BT422" s="7">
        <v>-0.445</v>
      </c>
      <c r="BU422" s="2" t="s">
        <v>107</v>
      </c>
      <c r="BV422" s="2" t="s">
        <v>108</v>
      </c>
      <c r="BW422" s="2" t="s">
        <v>1508</v>
      </c>
      <c r="BX422" s="2" t="s">
        <v>1529</v>
      </c>
      <c r="BY422" s="2" t="s">
        <v>111</v>
      </c>
    </row>
    <row r="423">
      <c r="A423" s="2" t="s">
        <v>1530</v>
      </c>
      <c r="B423" s="2" t="s">
        <v>86</v>
      </c>
      <c r="C423" s="2" t="s">
        <v>87</v>
      </c>
      <c r="D423" s="2" t="s">
        <v>88</v>
      </c>
      <c r="E423" s="2" t="s">
        <v>1465</v>
      </c>
      <c r="F423" s="2" t="s">
        <v>1501</v>
      </c>
      <c r="G423" s="2" t="s">
        <v>1502</v>
      </c>
      <c r="H423" s="2" t="s">
        <v>1430</v>
      </c>
      <c r="I423" s="2" t="s">
        <v>1517</v>
      </c>
      <c r="J423" s="2" t="s">
        <v>809</v>
      </c>
      <c r="K423" s="2" t="s">
        <v>997</v>
      </c>
      <c r="L423" s="3">
        <v>15.05</v>
      </c>
      <c r="M423" s="3">
        <v>15.8</v>
      </c>
      <c r="N423" s="3">
        <v>34.99</v>
      </c>
      <c r="O423" s="2" t="s">
        <v>368</v>
      </c>
      <c r="P423" s="2" t="s">
        <v>215</v>
      </c>
      <c r="Q423" s="2" t="s">
        <v>97</v>
      </c>
      <c r="R423" s="2" t="s">
        <v>98</v>
      </c>
      <c r="S423" s="2" t="s">
        <v>1531</v>
      </c>
      <c r="T423" s="2" t="s">
        <v>98</v>
      </c>
      <c r="U423" s="2" t="s">
        <v>98</v>
      </c>
      <c r="V423" s="2" t="s">
        <v>101</v>
      </c>
      <c r="W423" s="2" t="s">
        <v>335</v>
      </c>
      <c r="X423" s="2" t="s">
        <v>98</v>
      </c>
      <c r="Y423" s="2" t="s">
        <v>1506</v>
      </c>
      <c r="Z423" s="4"/>
      <c r="AA423" s="4">
        <f>=ROUNDDOWN({0},0)</f>
      </c>
      <c r="AB423" s="5"/>
      <c r="AC423" s="2" t="s">
        <v>98</v>
      </c>
      <c r="AD423" s="4"/>
      <c r="AE423" s="4"/>
      <c r="AF423" s="6"/>
      <c r="AG423" s="6"/>
      <c r="AH423" s="7">
        <v>0.3667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>
        <v>7</v>
      </c>
      <c r="AS423" s="8">
        <v>98.21</v>
      </c>
      <c r="AT423" s="7">
        <v>-1</v>
      </c>
      <c r="AU423" s="7">
        <v>-1</v>
      </c>
      <c r="AV423" s="4">
        <v>15</v>
      </c>
      <c r="AW423" s="8">
        <v>305</v>
      </c>
      <c r="AX423" s="4">
        <v>48</v>
      </c>
      <c r="AY423" s="8">
        <v>804.48</v>
      </c>
      <c r="AZ423" s="7">
        <v>-0.6875</v>
      </c>
      <c r="BA423" s="7">
        <v>-0.6209</v>
      </c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0.1298</v>
      </c>
      <c r="BJ423" s="4"/>
      <c r="BK423" s="8"/>
      <c r="BL423" s="2" t="s">
        <v>1532</v>
      </c>
      <c r="BM423" s="7"/>
      <c r="BN423" s="7"/>
      <c r="BO423" s="4"/>
      <c r="BP423" s="8"/>
      <c r="BQ423" s="4">
        <v>7</v>
      </c>
      <c r="BR423" s="8">
        <v>98.21</v>
      </c>
      <c r="BS423" s="7">
        <v>-1</v>
      </c>
      <c r="BT423" s="7">
        <v>-1</v>
      </c>
      <c r="BU423" s="2" t="s">
        <v>211</v>
      </c>
      <c r="BV423" s="2" t="s">
        <v>352</v>
      </c>
      <c r="BW423" s="2" t="s">
        <v>1508</v>
      </c>
      <c r="BX423" s="2" t="s">
        <v>1533</v>
      </c>
      <c r="BY423" s="2" t="s">
        <v>111</v>
      </c>
    </row>
    <row r="424">
      <c r="A424" s="2" t="s">
        <v>1534</v>
      </c>
      <c r="B424" s="2" t="s">
        <v>86</v>
      </c>
      <c r="C424" s="2" t="s">
        <v>87</v>
      </c>
      <c r="D424" s="2" t="s">
        <v>88</v>
      </c>
      <c r="E424" s="2" t="s">
        <v>1465</v>
      </c>
      <c r="F424" s="2" t="s">
        <v>1501</v>
      </c>
      <c r="G424" s="2" t="s">
        <v>1502</v>
      </c>
      <c r="H424" s="2" t="s">
        <v>1430</v>
      </c>
      <c r="I424" s="2" t="s">
        <v>1503</v>
      </c>
      <c r="J424" s="2" t="s">
        <v>814</v>
      </c>
      <c r="K424" s="2" t="s">
        <v>997</v>
      </c>
      <c r="L424" s="3">
        <v>17.6</v>
      </c>
      <c r="M424" s="3">
        <v>18.48</v>
      </c>
      <c r="N424" s="3">
        <v>39.99</v>
      </c>
      <c r="O424" s="2" t="s">
        <v>95</v>
      </c>
      <c r="P424" s="2" t="s">
        <v>150</v>
      </c>
      <c r="Q424" s="2" t="s">
        <v>97</v>
      </c>
      <c r="R424" s="2" t="s">
        <v>98</v>
      </c>
      <c r="S424" s="2" t="s">
        <v>1531</v>
      </c>
      <c r="T424" s="2" t="s">
        <v>98</v>
      </c>
      <c r="U424" s="2" t="s">
        <v>98</v>
      </c>
      <c r="V424" s="2" t="s">
        <v>101</v>
      </c>
      <c r="W424" s="2" t="s">
        <v>335</v>
      </c>
      <c r="X424" s="2" t="s">
        <v>1220</v>
      </c>
      <c r="Y424" s="2" t="s">
        <v>1506</v>
      </c>
      <c r="Z424" s="4">
        <v>287</v>
      </c>
      <c r="AA424" s="4">
        <f>=ROUNDDOWN(26.0909090909091,0)</f>
      </c>
      <c r="AB424" s="5">
        <v>11</v>
      </c>
      <c r="AC424" s="2" t="s">
        <v>250</v>
      </c>
      <c r="AD424" s="4">
        <v>228</v>
      </c>
      <c r="AE424" s="4">
        <v>408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13</v>
      </c>
      <c r="AQ424" s="8">
        <v>260</v>
      </c>
      <c r="AR424" s="4">
        <v>26</v>
      </c>
      <c r="AS424" s="8">
        <v>425.62</v>
      </c>
      <c r="AT424" s="7">
        <v>-0.5</v>
      </c>
      <c r="AU424" s="7">
        <v>-0.3891</v>
      </c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0.8525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176</v>
      </c>
      <c r="BK424" s="8">
        <v>3364.19</v>
      </c>
      <c r="BL424" s="2" t="s">
        <v>1473</v>
      </c>
      <c r="BM424" s="7">
        <v>0.0739</v>
      </c>
      <c r="BN424" s="7">
        <v>0.0773</v>
      </c>
      <c r="BO424" s="4">
        <v>13</v>
      </c>
      <c r="BP424" s="8">
        <v>260</v>
      </c>
      <c r="BQ424" s="4">
        <v>26</v>
      </c>
      <c r="BR424" s="8">
        <v>425.62</v>
      </c>
      <c r="BS424" s="7">
        <v>-0.5</v>
      </c>
      <c r="BT424" s="7">
        <v>-0.3891</v>
      </c>
      <c r="BU424" s="2" t="s">
        <v>107</v>
      </c>
      <c r="BV424" s="2" t="s">
        <v>108</v>
      </c>
      <c r="BW424" s="2" t="s">
        <v>1508</v>
      </c>
      <c r="BX424" s="2" t="s">
        <v>1535</v>
      </c>
      <c r="BY424" s="2" t="s">
        <v>111</v>
      </c>
    </row>
    <row r="425">
      <c r="A425" s="2" t="s">
        <v>1536</v>
      </c>
      <c r="B425" s="2" t="s">
        <v>86</v>
      </c>
      <c r="C425" s="2" t="s">
        <v>87</v>
      </c>
      <c r="D425" s="2" t="s">
        <v>88</v>
      </c>
      <c r="E425" s="2" t="s">
        <v>1465</v>
      </c>
      <c r="F425" s="2" t="s">
        <v>1501</v>
      </c>
      <c r="G425" s="2" t="s">
        <v>1502</v>
      </c>
      <c r="H425" s="2" t="s">
        <v>1430</v>
      </c>
      <c r="I425" s="2" t="s">
        <v>1503</v>
      </c>
      <c r="J425" s="2" t="s">
        <v>1513</v>
      </c>
      <c r="K425" s="2" t="s">
        <v>997</v>
      </c>
      <c r="L425" s="3">
        <v>20.25</v>
      </c>
      <c r="M425" s="3">
        <v>21.26</v>
      </c>
      <c r="N425" s="3">
        <v>44.99</v>
      </c>
      <c r="O425" s="2" t="s">
        <v>95</v>
      </c>
      <c r="P425" s="2" t="s">
        <v>150</v>
      </c>
      <c r="Q425" s="2" t="s">
        <v>97</v>
      </c>
      <c r="R425" s="2" t="s">
        <v>98</v>
      </c>
      <c r="S425" s="2" t="s">
        <v>1531</v>
      </c>
      <c r="T425" s="2" t="s">
        <v>98</v>
      </c>
      <c r="U425" s="2" t="s">
        <v>98</v>
      </c>
      <c r="V425" s="2" t="s">
        <v>101</v>
      </c>
      <c r="W425" s="2" t="s">
        <v>335</v>
      </c>
      <c r="X425" s="2" t="s">
        <v>1220</v>
      </c>
      <c r="Y425" s="2" t="s">
        <v>1506</v>
      </c>
      <c r="Z425" s="4">
        <v>180</v>
      </c>
      <c r="AA425" s="4">
        <f>=ROUNDDOWN(45,0)</f>
      </c>
      <c r="AB425" s="5">
        <v>4</v>
      </c>
      <c r="AC425" s="2" t="s">
        <v>98</v>
      </c>
      <c r="AD425" s="4"/>
      <c r="AE425" s="4"/>
      <c r="AF425" s="6">
        <v>65</v>
      </c>
      <c r="AG425" s="6"/>
      <c r="AH425" s="7">
        <v>0.9778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45</v>
      </c>
      <c r="AR425" s="4">
        <v>15</v>
      </c>
      <c r="AS425" s="8">
        <v>280.65</v>
      </c>
      <c r="AT425" s="7">
        <v>-0.8667</v>
      </c>
      <c r="AU425" s="7">
        <v>-0.8397</v>
      </c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0.1475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83</v>
      </c>
      <c r="BK425" s="8">
        <v>1772.29</v>
      </c>
      <c r="BL425" s="2" t="s">
        <v>339</v>
      </c>
      <c r="BM425" s="7">
        <v>0.0241</v>
      </c>
      <c r="BN425" s="7">
        <v>0.0254</v>
      </c>
      <c r="BO425" s="4">
        <v>2</v>
      </c>
      <c r="BP425" s="8">
        <v>45</v>
      </c>
      <c r="BQ425" s="4">
        <v>15</v>
      </c>
      <c r="BR425" s="8">
        <v>280.65</v>
      </c>
      <c r="BS425" s="7">
        <v>-0.8667</v>
      </c>
      <c r="BT425" s="7">
        <v>-0.8397</v>
      </c>
      <c r="BU425" s="2" t="s">
        <v>107</v>
      </c>
      <c r="BV425" s="2" t="s">
        <v>108</v>
      </c>
      <c r="BW425" s="2" t="s">
        <v>1508</v>
      </c>
      <c r="BX425" s="2" t="s">
        <v>1535</v>
      </c>
      <c r="BY425" s="2" t="s">
        <v>111</v>
      </c>
    </row>
    <row r="426">
      <c r="A426" s="2" t="s">
        <v>1537</v>
      </c>
      <c r="B426" s="2" t="s">
        <v>86</v>
      </c>
      <c r="C426" s="2" t="s">
        <v>87</v>
      </c>
      <c r="D426" s="2" t="s">
        <v>88</v>
      </c>
      <c r="E426" s="2" t="s">
        <v>1465</v>
      </c>
      <c r="F426" s="2" t="s">
        <v>1501</v>
      </c>
      <c r="G426" s="2" t="s">
        <v>1502</v>
      </c>
      <c r="H426" s="2" t="s">
        <v>1430</v>
      </c>
      <c r="I426" s="2" t="s">
        <v>1517</v>
      </c>
      <c r="J426" s="2" t="s">
        <v>809</v>
      </c>
      <c r="K426" s="2" t="s">
        <v>458</v>
      </c>
      <c r="L426" s="3">
        <v>15.05</v>
      </c>
      <c r="M426" s="3">
        <v>15.8</v>
      </c>
      <c r="N426" s="3">
        <v>34.99</v>
      </c>
      <c r="O426" s="2" t="s">
        <v>368</v>
      </c>
      <c r="P426" s="2" t="s">
        <v>215</v>
      </c>
      <c r="Q426" s="2" t="s">
        <v>97</v>
      </c>
      <c r="R426" s="2" t="s">
        <v>98</v>
      </c>
      <c r="S426" s="2" t="s">
        <v>1538</v>
      </c>
      <c r="T426" s="2" t="s">
        <v>98</v>
      </c>
      <c r="U426" s="2" t="s">
        <v>98</v>
      </c>
      <c r="V426" s="2" t="s">
        <v>101</v>
      </c>
      <c r="W426" s="2" t="s">
        <v>335</v>
      </c>
      <c r="X426" s="2" t="s">
        <v>98</v>
      </c>
      <c r="Y426" s="2" t="s">
        <v>1506</v>
      </c>
      <c r="Z426" s="4"/>
      <c r="AA426" s="4">
        <f>=ROUNDDOWN({0},0)</f>
      </c>
      <c r="AB426" s="5"/>
      <c r="AC426" s="2" t="s">
        <v>98</v>
      </c>
      <c r="AD426" s="4"/>
      <c r="AE426" s="4"/>
      <c r="AF426" s="6"/>
      <c r="AG426" s="6"/>
      <c r="AH426" s="7">
        <v>0.4222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>
        <v>10</v>
      </c>
      <c r="AS426" s="8">
        <v>140.3</v>
      </c>
      <c r="AT426" s="7">
        <v>-1</v>
      </c>
      <c r="AU426" s="7">
        <v>-1</v>
      </c>
      <c r="AV426" s="4">
        <v>12</v>
      </c>
      <c r="AW426" s="8">
        <v>252.5</v>
      </c>
      <c r="AX426" s="4">
        <v>10</v>
      </c>
      <c r="AY426" s="8">
        <v>140.3</v>
      </c>
      <c r="AZ426" s="7">
        <v>0.2</v>
      </c>
      <c r="BA426" s="7">
        <v>0.7997</v>
      </c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0.1074</v>
      </c>
      <c r="BJ426" s="4"/>
      <c r="BK426" s="8"/>
      <c r="BL426" s="2" t="s">
        <v>1539</v>
      </c>
      <c r="BM426" s="7"/>
      <c r="BN426" s="7"/>
      <c r="BO426" s="4"/>
      <c r="BP426" s="8"/>
      <c r="BQ426" s="4">
        <v>10</v>
      </c>
      <c r="BR426" s="8">
        <v>140.3</v>
      </c>
      <c r="BS426" s="7">
        <v>-1</v>
      </c>
      <c r="BT426" s="7">
        <v>-1</v>
      </c>
      <c r="BU426" s="2" t="s">
        <v>211</v>
      </c>
      <c r="BV426" s="2" t="s">
        <v>352</v>
      </c>
      <c r="BW426" s="2" t="s">
        <v>1508</v>
      </c>
      <c r="BX426" s="2" t="s">
        <v>1540</v>
      </c>
      <c r="BY426" s="2" t="s">
        <v>111</v>
      </c>
    </row>
    <row r="427">
      <c r="A427" s="2" t="s">
        <v>1541</v>
      </c>
      <c r="B427" s="2" t="s">
        <v>86</v>
      </c>
      <c r="C427" s="2" t="s">
        <v>87</v>
      </c>
      <c r="D427" s="2" t="s">
        <v>88</v>
      </c>
      <c r="E427" s="2" t="s">
        <v>1465</v>
      </c>
      <c r="F427" s="2" t="s">
        <v>1501</v>
      </c>
      <c r="G427" s="2" t="s">
        <v>1502</v>
      </c>
      <c r="H427" s="2" t="s">
        <v>1430</v>
      </c>
      <c r="I427" s="2" t="s">
        <v>1503</v>
      </c>
      <c r="J427" s="2" t="s">
        <v>814</v>
      </c>
      <c r="K427" s="2" t="s">
        <v>458</v>
      </c>
      <c r="L427" s="3">
        <v>17.6</v>
      </c>
      <c r="M427" s="3">
        <v>18.48</v>
      </c>
      <c r="N427" s="3">
        <v>39.99</v>
      </c>
      <c r="O427" s="2" t="s">
        <v>95</v>
      </c>
      <c r="P427" s="2" t="s">
        <v>150</v>
      </c>
      <c r="Q427" s="2" t="s">
        <v>97</v>
      </c>
      <c r="R427" s="2" t="s">
        <v>98</v>
      </c>
      <c r="S427" s="2" t="s">
        <v>1538</v>
      </c>
      <c r="T427" s="2" t="s">
        <v>98</v>
      </c>
      <c r="U427" s="2" t="s">
        <v>98</v>
      </c>
      <c r="V427" s="2" t="s">
        <v>101</v>
      </c>
      <c r="W427" s="2" t="s">
        <v>335</v>
      </c>
      <c r="X427" s="2" t="s">
        <v>1220</v>
      </c>
      <c r="Y427" s="2" t="s">
        <v>1506</v>
      </c>
      <c r="Z427" s="4">
        <v>100</v>
      </c>
      <c r="AA427" s="4">
        <f>=ROUNDDOWN(16.6666666666667,0)</f>
      </c>
      <c r="AB427" s="5">
        <v>6</v>
      </c>
      <c r="AC427" s="2" t="s">
        <v>376</v>
      </c>
      <c r="AD427" s="4">
        <v>92</v>
      </c>
      <c r="AE427" s="4">
        <v>160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7</v>
      </c>
      <c r="AQ427" s="8">
        <v>140</v>
      </c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0.5545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100</v>
      </c>
      <c r="BK427" s="8">
        <v>1855.32</v>
      </c>
      <c r="BL427" s="2" t="s">
        <v>1542</v>
      </c>
      <c r="BM427" s="7">
        <v>0.07</v>
      </c>
      <c r="BN427" s="7">
        <v>0.0755</v>
      </c>
      <c r="BO427" s="4">
        <v>7</v>
      </c>
      <c r="BP427" s="8">
        <v>140</v>
      </c>
      <c r="BQ427" s="4"/>
      <c r="BR427" s="8"/>
      <c r="BS427" s="7"/>
      <c r="BT427" s="7"/>
      <c r="BU427" s="2" t="s">
        <v>107</v>
      </c>
      <c r="BV427" s="2" t="s">
        <v>108</v>
      </c>
      <c r="BW427" s="2" t="s">
        <v>1508</v>
      </c>
      <c r="BX427" s="2" t="s">
        <v>1509</v>
      </c>
      <c r="BY427" s="2" t="s">
        <v>111</v>
      </c>
    </row>
    <row r="428">
      <c r="A428" s="2" t="s">
        <v>1543</v>
      </c>
      <c r="B428" s="2" t="s">
        <v>86</v>
      </c>
      <c r="C428" s="2" t="s">
        <v>87</v>
      </c>
      <c r="D428" s="2" t="s">
        <v>88</v>
      </c>
      <c r="E428" s="2" t="s">
        <v>1465</v>
      </c>
      <c r="F428" s="2" t="s">
        <v>1501</v>
      </c>
      <c r="G428" s="2" t="s">
        <v>1502</v>
      </c>
      <c r="H428" s="2" t="s">
        <v>1430</v>
      </c>
      <c r="I428" s="2" t="s">
        <v>1503</v>
      </c>
      <c r="J428" s="2" t="s">
        <v>1513</v>
      </c>
      <c r="K428" s="2" t="s">
        <v>458</v>
      </c>
      <c r="L428" s="3">
        <v>20.25</v>
      </c>
      <c r="M428" s="3">
        <v>21.26</v>
      </c>
      <c r="N428" s="3">
        <v>44.99</v>
      </c>
      <c r="O428" s="2" t="s">
        <v>95</v>
      </c>
      <c r="P428" s="2" t="s">
        <v>150</v>
      </c>
      <c r="Q428" s="2" t="s">
        <v>97</v>
      </c>
      <c r="R428" s="2" t="s">
        <v>98</v>
      </c>
      <c r="S428" s="2" t="s">
        <v>1538</v>
      </c>
      <c r="T428" s="2" t="s">
        <v>98</v>
      </c>
      <c r="U428" s="2" t="s">
        <v>98</v>
      </c>
      <c r="V428" s="2" t="s">
        <v>101</v>
      </c>
      <c r="W428" s="2" t="s">
        <v>335</v>
      </c>
      <c r="X428" s="2" t="s">
        <v>1220</v>
      </c>
      <c r="Y428" s="2" t="s">
        <v>1506</v>
      </c>
      <c r="Z428" s="4">
        <v>38</v>
      </c>
      <c r="AA428" s="4">
        <f>=ROUNDDOWN(27.1428571428571,0)</f>
      </c>
      <c r="AB428" s="5">
        <v>1.4</v>
      </c>
      <c r="AC428" s="2" t="s">
        <v>707</v>
      </c>
      <c r="AD428" s="4">
        <v>44</v>
      </c>
      <c r="AE428" s="4">
        <v>44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5</v>
      </c>
      <c r="AQ428" s="8">
        <v>112.5</v>
      </c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0.4455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40</v>
      </c>
      <c r="BK428" s="8">
        <v>846.95</v>
      </c>
      <c r="BL428" s="2" t="s">
        <v>356</v>
      </c>
      <c r="BM428" s="7">
        <v>0.125</v>
      </c>
      <c r="BN428" s="7">
        <v>0.1328</v>
      </c>
      <c r="BO428" s="4">
        <v>5</v>
      </c>
      <c r="BP428" s="8">
        <v>112.5</v>
      </c>
      <c r="BQ428" s="4"/>
      <c r="BR428" s="8"/>
      <c r="BS428" s="7"/>
      <c r="BT428" s="7"/>
      <c r="BU428" s="2" t="s">
        <v>107</v>
      </c>
      <c r="BV428" s="2" t="s">
        <v>108</v>
      </c>
      <c r="BW428" s="2" t="s">
        <v>1508</v>
      </c>
      <c r="BX428" s="2" t="s">
        <v>1544</v>
      </c>
      <c r="BY428" s="2" t="s">
        <v>111</v>
      </c>
    </row>
    <row r="429">
      <c r="A429" s="2" t="s">
        <v>1545</v>
      </c>
      <c r="B429" s="2" t="s">
        <v>86</v>
      </c>
      <c r="C429" s="2" t="s">
        <v>87</v>
      </c>
      <c r="D429" s="2" t="s">
        <v>88</v>
      </c>
      <c r="E429" s="2" t="s">
        <v>1465</v>
      </c>
      <c r="F429" s="2" t="s">
        <v>1501</v>
      </c>
      <c r="G429" s="2" t="s">
        <v>1502</v>
      </c>
      <c r="H429" s="2" t="s">
        <v>1430</v>
      </c>
      <c r="I429" s="2" t="s">
        <v>1517</v>
      </c>
      <c r="J429" s="2" t="s">
        <v>809</v>
      </c>
      <c r="K429" s="2" t="s">
        <v>551</v>
      </c>
      <c r="L429" s="3">
        <v>15.05</v>
      </c>
      <c r="M429" s="3">
        <v>15.8</v>
      </c>
      <c r="N429" s="3">
        <v>34.99</v>
      </c>
      <c r="O429" s="2" t="s">
        <v>368</v>
      </c>
      <c r="P429" s="2" t="s">
        <v>215</v>
      </c>
      <c r="Q429" s="2" t="s">
        <v>97</v>
      </c>
      <c r="R429" s="2" t="s">
        <v>98</v>
      </c>
      <c r="S429" s="2" t="s">
        <v>1546</v>
      </c>
      <c r="T429" s="2" t="s">
        <v>98</v>
      </c>
      <c r="U429" s="2" t="s">
        <v>98</v>
      </c>
      <c r="V429" s="2" t="s">
        <v>101</v>
      </c>
      <c r="W429" s="2" t="s">
        <v>335</v>
      </c>
      <c r="X429" s="2" t="s">
        <v>98</v>
      </c>
      <c r="Y429" s="2" t="s">
        <v>1506</v>
      </c>
      <c r="Z429" s="4"/>
      <c r="AA429" s="4">
        <f>=ROUNDDOWN({0},0)</f>
      </c>
      <c r="AB429" s="5">
        <v>0.5</v>
      </c>
      <c r="AC429" s="2" t="s">
        <v>98</v>
      </c>
      <c r="AD429" s="4"/>
      <c r="AE429" s="4"/>
      <c r="AF429" s="6"/>
      <c r="AG429" s="6"/>
      <c r="AH429" s="7">
        <v>0.4222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>
        <v>16</v>
      </c>
      <c r="AS429" s="8">
        <v>224.48</v>
      </c>
      <c r="AT429" s="7">
        <v>-1</v>
      </c>
      <c r="AU429" s="7">
        <v>-1</v>
      </c>
      <c r="AV429" s="4">
        <v>9</v>
      </c>
      <c r="AW429" s="8">
        <v>190</v>
      </c>
      <c r="AX429" s="4">
        <v>26</v>
      </c>
      <c r="AY429" s="8">
        <v>411.58</v>
      </c>
      <c r="AZ429" s="7">
        <v>-0.6538</v>
      </c>
      <c r="BA429" s="7">
        <v>-0.5384</v>
      </c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0.0809</v>
      </c>
      <c r="BJ429" s="4"/>
      <c r="BK429" s="8"/>
      <c r="BL429" s="2" t="s">
        <v>1539</v>
      </c>
      <c r="BM429" s="7"/>
      <c r="BN429" s="7"/>
      <c r="BO429" s="4"/>
      <c r="BP429" s="8"/>
      <c r="BQ429" s="4">
        <v>16</v>
      </c>
      <c r="BR429" s="8">
        <v>224.48</v>
      </c>
      <c r="BS429" s="7">
        <v>-1</v>
      </c>
      <c r="BT429" s="7">
        <v>-1</v>
      </c>
      <c r="BU429" s="2" t="s">
        <v>211</v>
      </c>
      <c r="BV429" s="2" t="s">
        <v>352</v>
      </c>
      <c r="BW429" s="2" t="s">
        <v>1508</v>
      </c>
      <c r="BX429" s="2" t="s">
        <v>1524</v>
      </c>
      <c r="BY429" s="2" t="s">
        <v>111</v>
      </c>
    </row>
    <row r="430">
      <c r="A430" s="2" t="s">
        <v>1547</v>
      </c>
      <c r="B430" s="2" t="s">
        <v>86</v>
      </c>
      <c r="C430" s="2" t="s">
        <v>87</v>
      </c>
      <c r="D430" s="2" t="s">
        <v>88</v>
      </c>
      <c r="E430" s="2" t="s">
        <v>1465</v>
      </c>
      <c r="F430" s="2" t="s">
        <v>1501</v>
      </c>
      <c r="G430" s="2" t="s">
        <v>1502</v>
      </c>
      <c r="H430" s="2" t="s">
        <v>1430</v>
      </c>
      <c r="I430" s="2" t="s">
        <v>1503</v>
      </c>
      <c r="J430" s="2" t="s">
        <v>814</v>
      </c>
      <c r="K430" s="2" t="s">
        <v>551</v>
      </c>
      <c r="L430" s="3">
        <v>17.6</v>
      </c>
      <c r="M430" s="3">
        <v>18.48</v>
      </c>
      <c r="N430" s="3">
        <v>39.99</v>
      </c>
      <c r="O430" s="2" t="s">
        <v>95</v>
      </c>
      <c r="P430" s="2" t="s">
        <v>150</v>
      </c>
      <c r="Q430" s="2" t="s">
        <v>97</v>
      </c>
      <c r="R430" s="2" t="s">
        <v>98</v>
      </c>
      <c r="S430" s="2" t="s">
        <v>1546</v>
      </c>
      <c r="T430" s="2" t="s">
        <v>98</v>
      </c>
      <c r="U430" s="2" t="s">
        <v>98</v>
      </c>
      <c r="V430" s="2" t="s">
        <v>101</v>
      </c>
      <c r="W430" s="2" t="s">
        <v>335</v>
      </c>
      <c r="X430" s="2" t="s">
        <v>98</v>
      </c>
      <c r="Y430" s="2" t="s">
        <v>1506</v>
      </c>
      <c r="Z430" s="4">
        <v>57</v>
      </c>
      <c r="AA430" s="4">
        <f>=ROUNDDOWN(8.76923076923077,0)</f>
      </c>
      <c r="AB430" s="5">
        <v>6.5</v>
      </c>
      <c r="AC430" s="2" t="s">
        <v>707</v>
      </c>
      <c r="AD430" s="4">
        <v>64</v>
      </c>
      <c r="AE430" s="4">
        <v>160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5</v>
      </c>
      <c r="AQ430" s="8">
        <v>100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0.5263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62</v>
      </c>
      <c r="BK430" s="8">
        <v>1173.3</v>
      </c>
      <c r="BL430" s="2" t="s">
        <v>1542</v>
      </c>
      <c r="BM430" s="7">
        <v>0.0806</v>
      </c>
      <c r="BN430" s="7">
        <v>0.0852</v>
      </c>
      <c r="BO430" s="4">
        <v>5</v>
      </c>
      <c r="BP430" s="8">
        <v>100</v>
      </c>
      <c r="BQ430" s="4"/>
      <c r="BR430" s="8"/>
      <c r="BS430" s="7"/>
      <c r="BT430" s="7"/>
      <c r="BU430" s="2" t="s">
        <v>107</v>
      </c>
      <c r="BV430" s="2" t="s">
        <v>108</v>
      </c>
      <c r="BW430" s="2" t="s">
        <v>1508</v>
      </c>
      <c r="BX430" s="2" t="s">
        <v>1548</v>
      </c>
      <c r="BY430" s="2" t="s">
        <v>111</v>
      </c>
    </row>
    <row r="431">
      <c r="A431" s="2" t="s">
        <v>1549</v>
      </c>
      <c r="B431" s="2" t="s">
        <v>86</v>
      </c>
      <c r="C431" s="2" t="s">
        <v>87</v>
      </c>
      <c r="D431" s="2" t="s">
        <v>88</v>
      </c>
      <c r="E431" s="2" t="s">
        <v>1465</v>
      </c>
      <c r="F431" s="2" t="s">
        <v>1501</v>
      </c>
      <c r="G431" s="2" t="s">
        <v>1502</v>
      </c>
      <c r="H431" s="2" t="s">
        <v>1430</v>
      </c>
      <c r="I431" s="2" t="s">
        <v>1503</v>
      </c>
      <c r="J431" s="2" t="s">
        <v>1513</v>
      </c>
      <c r="K431" s="2" t="s">
        <v>551</v>
      </c>
      <c r="L431" s="3">
        <v>20.25</v>
      </c>
      <c r="M431" s="3">
        <v>21.26</v>
      </c>
      <c r="N431" s="3">
        <v>44.99</v>
      </c>
      <c r="O431" s="2" t="s">
        <v>95</v>
      </c>
      <c r="P431" s="2" t="s">
        <v>215</v>
      </c>
      <c r="Q431" s="2" t="s">
        <v>97</v>
      </c>
      <c r="R431" s="2" t="s">
        <v>98</v>
      </c>
      <c r="S431" s="2" t="s">
        <v>1546</v>
      </c>
      <c r="T431" s="2" t="s">
        <v>98</v>
      </c>
      <c r="U431" s="2" t="s">
        <v>98</v>
      </c>
      <c r="V431" s="2" t="s">
        <v>101</v>
      </c>
      <c r="W431" s="2" t="s">
        <v>335</v>
      </c>
      <c r="X431" s="2" t="s">
        <v>98</v>
      </c>
      <c r="Y431" s="2" t="s">
        <v>1506</v>
      </c>
      <c r="Z431" s="4">
        <v>49</v>
      </c>
      <c r="AA431" s="4">
        <f>=ROUNDDOWN(25.7894736842105,0)</f>
      </c>
      <c r="AB431" s="5">
        <v>1.9</v>
      </c>
      <c r="AC431" s="2" t="s">
        <v>158</v>
      </c>
      <c r="AD431" s="4">
        <v>40</v>
      </c>
      <c r="AE431" s="4">
        <v>40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4</v>
      </c>
      <c r="AQ431" s="8">
        <v>90</v>
      </c>
      <c r="AR431" s="4">
        <v>10</v>
      </c>
      <c r="AS431" s="8">
        <v>187.1</v>
      </c>
      <c r="AT431" s="7">
        <v>-0.6</v>
      </c>
      <c r="AU431" s="7">
        <v>-0.519</v>
      </c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0.4737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36</v>
      </c>
      <c r="BK431" s="8">
        <v>779.29</v>
      </c>
      <c r="BL431" s="2" t="s">
        <v>1550</v>
      </c>
      <c r="BM431" s="7">
        <v>0.1111</v>
      </c>
      <c r="BN431" s="7">
        <v>0.1155</v>
      </c>
      <c r="BO431" s="4">
        <v>4</v>
      </c>
      <c r="BP431" s="8">
        <v>90</v>
      </c>
      <c r="BQ431" s="4">
        <v>10</v>
      </c>
      <c r="BR431" s="8">
        <v>187.1</v>
      </c>
      <c r="BS431" s="7">
        <v>-0.6</v>
      </c>
      <c r="BT431" s="7">
        <v>-0.519</v>
      </c>
      <c r="BU431" s="2" t="s">
        <v>107</v>
      </c>
      <c r="BV431" s="2" t="s">
        <v>108</v>
      </c>
      <c r="BW431" s="2" t="s">
        <v>1508</v>
      </c>
      <c r="BX431" s="2" t="s">
        <v>1551</v>
      </c>
      <c r="BY431" s="2" t="s">
        <v>111</v>
      </c>
    </row>
    <row r="432">
      <c r="A432" s="2" t="s">
        <v>1552</v>
      </c>
      <c r="B432" s="2" t="s">
        <v>86</v>
      </c>
      <c r="C432" s="2" t="s">
        <v>87</v>
      </c>
      <c r="D432" s="2" t="s">
        <v>88</v>
      </c>
      <c r="E432" s="2" t="s">
        <v>1465</v>
      </c>
      <c r="F432" s="2" t="s">
        <v>1501</v>
      </c>
      <c r="G432" s="2" t="s">
        <v>1502</v>
      </c>
      <c r="H432" s="2" t="s">
        <v>1430</v>
      </c>
      <c r="I432" s="2" t="s">
        <v>1517</v>
      </c>
      <c r="J432" s="2" t="s">
        <v>809</v>
      </c>
      <c r="K432" s="2" t="s">
        <v>214</v>
      </c>
      <c r="L432" s="3">
        <v>15.05</v>
      </c>
      <c r="M432" s="3">
        <v>15.8</v>
      </c>
      <c r="N432" s="3">
        <v>34.99</v>
      </c>
      <c r="O432" s="2" t="s">
        <v>368</v>
      </c>
      <c r="P432" s="2" t="s">
        <v>215</v>
      </c>
      <c r="Q432" s="2" t="s">
        <v>97</v>
      </c>
      <c r="R432" s="2" t="s">
        <v>98</v>
      </c>
      <c r="S432" s="2" t="s">
        <v>1553</v>
      </c>
      <c r="T432" s="2" t="s">
        <v>98</v>
      </c>
      <c r="U432" s="2" t="s">
        <v>98</v>
      </c>
      <c r="V432" s="2" t="s">
        <v>101</v>
      </c>
      <c r="W432" s="2" t="s">
        <v>335</v>
      </c>
      <c r="X432" s="2" t="s">
        <v>98</v>
      </c>
      <c r="Y432" s="2" t="s">
        <v>1506</v>
      </c>
      <c r="Z432" s="4">
        <v>2</v>
      </c>
      <c r="AA432" s="4">
        <f>=ROUNDDOWN(5,0)</f>
      </c>
      <c r="AB432" s="5">
        <v>0.4</v>
      </c>
      <c r="AC432" s="2" t="s">
        <v>98</v>
      </c>
      <c r="AD432" s="4"/>
      <c r="AE432" s="4"/>
      <c r="AF432" s="6"/>
      <c r="AG432" s="6"/>
      <c r="AH432" s="7">
        <v>0.4111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>
        <v>9</v>
      </c>
      <c r="AS432" s="8">
        <v>126.27</v>
      </c>
      <c r="AT432" s="7">
        <v>-1</v>
      </c>
      <c r="AU432" s="7">
        <v>-1</v>
      </c>
      <c r="AV432" s="4">
        <v>4</v>
      </c>
      <c r="AW432" s="8">
        <v>82.5</v>
      </c>
      <c r="AX432" s="4">
        <v>31</v>
      </c>
      <c r="AY432" s="8">
        <v>544.91</v>
      </c>
      <c r="AZ432" s="7">
        <v>-0.871</v>
      </c>
      <c r="BA432" s="7">
        <v>-0.8486</v>
      </c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0.0351</v>
      </c>
      <c r="BJ432" s="4">
        <v>2</v>
      </c>
      <c r="BK432" s="8">
        <v>29.92</v>
      </c>
      <c r="BL432" s="2" t="s">
        <v>1554</v>
      </c>
      <c r="BM432" s="7"/>
      <c r="BN432" s="7"/>
      <c r="BO432" s="4"/>
      <c r="BP432" s="8"/>
      <c r="BQ432" s="4">
        <v>9</v>
      </c>
      <c r="BR432" s="8">
        <v>126.27</v>
      </c>
      <c r="BS432" s="7">
        <v>-1</v>
      </c>
      <c r="BT432" s="7">
        <v>-1</v>
      </c>
      <c r="BU432" s="2" t="s">
        <v>211</v>
      </c>
      <c r="BV432" s="2" t="s">
        <v>352</v>
      </c>
      <c r="BW432" s="2" t="s">
        <v>1508</v>
      </c>
      <c r="BX432" s="2" t="s">
        <v>1555</v>
      </c>
      <c r="BY432" s="2" t="s">
        <v>111</v>
      </c>
    </row>
    <row r="433">
      <c r="A433" s="2" t="s">
        <v>1556</v>
      </c>
      <c r="B433" s="2" t="s">
        <v>86</v>
      </c>
      <c r="C433" s="2" t="s">
        <v>87</v>
      </c>
      <c r="D433" s="2" t="s">
        <v>88</v>
      </c>
      <c r="E433" s="2" t="s">
        <v>1465</v>
      </c>
      <c r="F433" s="2" t="s">
        <v>1501</v>
      </c>
      <c r="G433" s="2" t="s">
        <v>1502</v>
      </c>
      <c r="H433" s="2" t="s">
        <v>1430</v>
      </c>
      <c r="I433" s="2" t="s">
        <v>1503</v>
      </c>
      <c r="J433" s="2" t="s">
        <v>814</v>
      </c>
      <c r="K433" s="2" t="s">
        <v>214</v>
      </c>
      <c r="L433" s="3">
        <v>17.6</v>
      </c>
      <c r="M433" s="3">
        <v>18.48</v>
      </c>
      <c r="N433" s="3">
        <v>39.99</v>
      </c>
      <c r="O433" s="2" t="s">
        <v>95</v>
      </c>
      <c r="P433" s="2" t="s">
        <v>215</v>
      </c>
      <c r="Q433" s="2" t="s">
        <v>97</v>
      </c>
      <c r="R433" s="2" t="s">
        <v>98</v>
      </c>
      <c r="S433" s="2" t="s">
        <v>1553</v>
      </c>
      <c r="T433" s="2" t="s">
        <v>98</v>
      </c>
      <c r="U433" s="2" t="s">
        <v>98</v>
      </c>
      <c r="V433" s="2" t="s">
        <v>101</v>
      </c>
      <c r="W433" s="2" t="s">
        <v>335</v>
      </c>
      <c r="X433" s="2" t="s">
        <v>98</v>
      </c>
      <c r="Y433" s="2" t="s">
        <v>1506</v>
      </c>
      <c r="Z433" s="4">
        <v>33</v>
      </c>
      <c r="AA433" s="4">
        <f>=ROUNDDOWN(4.125,0)</f>
      </c>
      <c r="AB433" s="5">
        <v>8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3</v>
      </c>
      <c r="AQ433" s="8">
        <v>60</v>
      </c>
      <c r="AR433" s="4">
        <v>3</v>
      </c>
      <c r="AS433" s="8">
        <v>49.11</v>
      </c>
      <c r="AT433" s="7"/>
      <c r="AU433" s="7">
        <v>0.2217</v>
      </c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0.7273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75</v>
      </c>
      <c r="BK433" s="8">
        <v>1378.82</v>
      </c>
      <c r="BL433" s="2" t="s">
        <v>1550</v>
      </c>
      <c r="BM433" s="7">
        <v>0.04</v>
      </c>
      <c r="BN433" s="7">
        <v>0.0435</v>
      </c>
      <c r="BO433" s="4">
        <v>3</v>
      </c>
      <c r="BP433" s="8">
        <v>60</v>
      </c>
      <c r="BQ433" s="4">
        <v>3</v>
      </c>
      <c r="BR433" s="8">
        <v>49.11</v>
      </c>
      <c r="BS433" s="7"/>
      <c r="BT433" s="7">
        <v>0.2217</v>
      </c>
      <c r="BU433" s="2" t="s">
        <v>107</v>
      </c>
      <c r="BV433" s="2" t="s">
        <v>108</v>
      </c>
      <c r="BW433" s="2" t="s">
        <v>1508</v>
      </c>
      <c r="BX433" s="2" t="s">
        <v>1557</v>
      </c>
      <c r="BY433" s="2" t="s">
        <v>111</v>
      </c>
    </row>
    <row r="434">
      <c r="A434" s="2" t="s">
        <v>1558</v>
      </c>
      <c r="B434" s="2" t="s">
        <v>86</v>
      </c>
      <c r="C434" s="2" t="s">
        <v>87</v>
      </c>
      <c r="D434" s="2" t="s">
        <v>88</v>
      </c>
      <c r="E434" s="2" t="s">
        <v>1465</v>
      </c>
      <c r="F434" s="2" t="s">
        <v>1501</v>
      </c>
      <c r="G434" s="2" t="s">
        <v>1502</v>
      </c>
      <c r="H434" s="2" t="s">
        <v>1430</v>
      </c>
      <c r="I434" s="2" t="s">
        <v>1503</v>
      </c>
      <c r="J434" s="2" t="s">
        <v>1513</v>
      </c>
      <c r="K434" s="2" t="s">
        <v>214</v>
      </c>
      <c r="L434" s="3">
        <v>20.25</v>
      </c>
      <c r="M434" s="3">
        <v>21.26</v>
      </c>
      <c r="N434" s="3">
        <v>44.99</v>
      </c>
      <c r="O434" s="2" t="s">
        <v>95</v>
      </c>
      <c r="P434" s="2" t="s">
        <v>215</v>
      </c>
      <c r="Q434" s="2" t="s">
        <v>97</v>
      </c>
      <c r="R434" s="2" t="s">
        <v>98</v>
      </c>
      <c r="S434" s="2" t="s">
        <v>1553</v>
      </c>
      <c r="T434" s="2" t="s">
        <v>98</v>
      </c>
      <c r="U434" s="2" t="s">
        <v>98</v>
      </c>
      <c r="V434" s="2" t="s">
        <v>101</v>
      </c>
      <c r="W434" s="2" t="s">
        <v>335</v>
      </c>
      <c r="X434" s="2" t="s">
        <v>98</v>
      </c>
      <c r="Y434" s="2" t="s">
        <v>1506</v>
      </c>
      <c r="Z434" s="4">
        <v>84</v>
      </c>
      <c r="AA434" s="4">
        <f>=ROUNDDOWN(28,0)</f>
      </c>
      <c r="AB434" s="5">
        <v>3</v>
      </c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22.5</v>
      </c>
      <c r="AR434" s="4">
        <v>13</v>
      </c>
      <c r="AS434" s="8">
        <v>243.23</v>
      </c>
      <c r="AT434" s="7">
        <v>-0.9231</v>
      </c>
      <c r="AU434" s="7">
        <v>-0.9075</v>
      </c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0.2727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49</v>
      </c>
      <c r="BK434" s="8">
        <v>1027.49</v>
      </c>
      <c r="BL434" s="2" t="s">
        <v>1559</v>
      </c>
      <c r="BM434" s="7">
        <v>0.0204</v>
      </c>
      <c r="BN434" s="7">
        <v>0.0219</v>
      </c>
      <c r="BO434" s="4">
        <v>1</v>
      </c>
      <c r="BP434" s="8">
        <v>22.5</v>
      </c>
      <c r="BQ434" s="4">
        <v>13</v>
      </c>
      <c r="BR434" s="8">
        <v>243.23</v>
      </c>
      <c r="BS434" s="7">
        <v>-0.9231</v>
      </c>
      <c r="BT434" s="7">
        <v>-0.9075</v>
      </c>
      <c r="BU434" s="2" t="s">
        <v>107</v>
      </c>
      <c r="BV434" s="2" t="s">
        <v>108</v>
      </c>
      <c r="BW434" s="2" t="s">
        <v>1508</v>
      </c>
      <c r="BX434" s="2" t="s">
        <v>1560</v>
      </c>
      <c r="BY434" s="2" t="s">
        <v>111</v>
      </c>
    </row>
    <row r="435">
      <c r="A435" s="2" t="s">
        <v>1561</v>
      </c>
      <c r="B435" s="2" t="s">
        <v>86</v>
      </c>
      <c r="C435" s="2" t="s">
        <v>87</v>
      </c>
      <c r="D435" s="2" t="s">
        <v>88</v>
      </c>
      <c r="E435" s="2" t="s">
        <v>1465</v>
      </c>
      <c r="F435" s="2" t="s">
        <v>1501</v>
      </c>
      <c r="G435" s="2" t="s">
        <v>1502</v>
      </c>
      <c r="H435" s="2" t="s">
        <v>1430</v>
      </c>
      <c r="I435" s="2" t="s">
        <v>1517</v>
      </c>
      <c r="J435" s="2" t="s">
        <v>1518</v>
      </c>
      <c r="K435" s="2" t="s">
        <v>214</v>
      </c>
      <c r="L435" s="3">
        <v>20.25</v>
      </c>
      <c r="M435" s="3">
        <v>21.26</v>
      </c>
      <c r="N435" s="3">
        <v>44.99</v>
      </c>
      <c r="O435" s="2" t="s">
        <v>368</v>
      </c>
      <c r="P435" s="2" t="s">
        <v>465</v>
      </c>
      <c r="Q435" s="2" t="s">
        <v>97</v>
      </c>
      <c r="R435" s="2" t="s">
        <v>98</v>
      </c>
      <c r="S435" s="2" t="s">
        <v>1553</v>
      </c>
      <c r="T435" s="2" t="s">
        <v>98</v>
      </c>
      <c r="U435" s="2" t="s">
        <v>98</v>
      </c>
      <c r="V435" s="2" t="s">
        <v>101</v>
      </c>
      <c r="W435" s="2" t="s">
        <v>335</v>
      </c>
      <c r="X435" s="2" t="s">
        <v>98</v>
      </c>
      <c r="Y435" s="2" t="s">
        <v>1506</v>
      </c>
      <c r="Z435" s="4"/>
      <c r="AA435" s="4">
        <f>=ROUNDDOWN({0},0)</f>
      </c>
      <c r="AB435" s="5"/>
      <c r="AC435" s="2" t="s">
        <v>98</v>
      </c>
      <c r="AD435" s="4"/>
      <c r="AE435" s="4"/>
      <c r="AF435" s="6"/>
      <c r="AG435" s="6"/>
      <c r="AH435" s="7">
        <v>0.3667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>
        <v>6</v>
      </c>
      <c r="AS435" s="8">
        <v>126.3</v>
      </c>
      <c r="AT435" s="7">
        <v>-1</v>
      </c>
      <c r="AU435" s="7">
        <v>-1</v>
      </c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/>
      <c r="BK435" s="8"/>
      <c r="BL435" s="2" t="s">
        <v>1562</v>
      </c>
      <c r="BM435" s="7"/>
      <c r="BN435" s="7"/>
      <c r="BO435" s="4"/>
      <c r="BP435" s="8"/>
      <c r="BQ435" s="4">
        <v>6</v>
      </c>
      <c r="BR435" s="8">
        <v>126.3</v>
      </c>
      <c r="BS435" s="7">
        <v>-1</v>
      </c>
      <c r="BT435" s="7">
        <v>-1</v>
      </c>
      <c r="BU435" s="2" t="s">
        <v>211</v>
      </c>
      <c r="BV435" s="2" t="s">
        <v>352</v>
      </c>
      <c r="BW435" s="2" t="s">
        <v>1508</v>
      </c>
      <c r="BX435" s="2" t="s">
        <v>1563</v>
      </c>
      <c r="BY435" s="2" t="s">
        <v>111</v>
      </c>
    </row>
    <row r="436">
      <c r="A436" s="2" t="s">
        <v>1564</v>
      </c>
      <c r="B436" s="2" t="s">
        <v>86</v>
      </c>
      <c r="C436" s="2" t="s">
        <v>87</v>
      </c>
      <c r="D436" s="2" t="s">
        <v>88</v>
      </c>
      <c r="E436" s="2" t="s">
        <v>1465</v>
      </c>
      <c r="F436" s="2" t="s">
        <v>1565</v>
      </c>
      <c r="G436" s="2" t="s">
        <v>1566</v>
      </c>
      <c r="H436" s="2" t="s">
        <v>1567</v>
      </c>
      <c r="I436" s="2" t="s">
        <v>1568</v>
      </c>
      <c r="J436" s="2" t="s">
        <v>1569</v>
      </c>
      <c r="K436" s="2" t="s">
        <v>94</v>
      </c>
      <c r="L436" s="3">
        <v>19</v>
      </c>
      <c r="M436" s="3">
        <v>19.95</v>
      </c>
      <c r="N436" s="3">
        <v>39.99</v>
      </c>
      <c r="O436" s="2" t="s">
        <v>95</v>
      </c>
      <c r="P436" s="2" t="s">
        <v>215</v>
      </c>
      <c r="Q436" s="2" t="s">
        <v>97</v>
      </c>
      <c r="R436" s="2" t="s">
        <v>98</v>
      </c>
      <c r="S436" s="2" t="s">
        <v>1570</v>
      </c>
      <c r="T436" s="2" t="s">
        <v>878</v>
      </c>
      <c r="U436" s="2" t="s">
        <v>1494</v>
      </c>
      <c r="V436" s="2" t="s">
        <v>1416</v>
      </c>
      <c r="W436" s="2" t="s">
        <v>567</v>
      </c>
      <c r="X436" s="2" t="s">
        <v>98</v>
      </c>
      <c r="Y436" s="2" t="s">
        <v>1169</v>
      </c>
      <c r="Z436" s="4">
        <v>182</v>
      </c>
      <c r="AA436" s="4">
        <f>=ROUNDDOWN(82.7272727272727,0)</f>
      </c>
      <c r="AB436" s="5">
        <v>2.2</v>
      </c>
      <c r="AC436" s="2" t="s">
        <v>98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15</v>
      </c>
      <c r="AQ436" s="8">
        <v>314.25</v>
      </c>
      <c r="AR436" s="4"/>
      <c r="AS436" s="8"/>
      <c r="AT436" s="7"/>
      <c r="AU436" s="7"/>
      <c r="AV436" s="4">
        <v>31</v>
      </c>
      <c r="AW436" s="8">
        <v>649.45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0.4839</v>
      </c>
      <c r="BC436" s="4">
        <v>46</v>
      </c>
      <c r="BD436" s="8">
        <v>963.7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0.6739</v>
      </c>
      <c r="BJ436" s="4">
        <v>43</v>
      </c>
      <c r="BK436" s="8">
        <v>924.73</v>
      </c>
      <c r="BL436" s="2" t="s">
        <v>1571</v>
      </c>
      <c r="BM436" s="7">
        <v>0.3488</v>
      </c>
      <c r="BN436" s="7">
        <v>0.3398</v>
      </c>
      <c r="BO436" s="4">
        <v>15</v>
      </c>
      <c r="BP436" s="8">
        <v>314.25</v>
      </c>
      <c r="BQ436" s="4"/>
      <c r="BR436" s="8"/>
      <c r="BS436" s="7"/>
      <c r="BT436" s="7"/>
      <c r="BU436" s="2" t="s">
        <v>107</v>
      </c>
      <c r="BV436" s="2" t="s">
        <v>108</v>
      </c>
      <c r="BW436" s="2" t="s">
        <v>1258</v>
      </c>
      <c r="BX436" s="2" t="s">
        <v>1572</v>
      </c>
      <c r="BY436" s="2" t="s">
        <v>111</v>
      </c>
    </row>
    <row r="437">
      <c r="A437" s="2" t="s">
        <v>1573</v>
      </c>
      <c r="B437" s="2" t="s">
        <v>86</v>
      </c>
      <c r="C437" s="2" t="s">
        <v>87</v>
      </c>
      <c r="D437" s="2" t="s">
        <v>88</v>
      </c>
      <c r="E437" s="2" t="s">
        <v>1465</v>
      </c>
      <c r="F437" s="2" t="s">
        <v>1565</v>
      </c>
      <c r="G437" s="2" t="s">
        <v>1566</v>
      </c>
      <c r="H437" s="2" t="s">
        <v>1567</v>
      </c>
      <c r="I437" s="2" t="s">
        <v>1568</v>
      </c>
      <c r="J437" s="2" t="s">
        <v>1574</v>
      </c>
      <c r="K437" s="2" t="s">
        <v>94</v>
      </c>
      <c r="L437" s="3">
        <v>19</v>
      </c>
      <c r="M437" s="3">
        <v>19.95</v>
      </c>
      <c r="N437" s="3">
        <v>44.99</v>
      </c>
      <c r="O437" s="2" t="s">
        <v>241</v>
      </c>
      <c r="P437" s="2" t="s">
        <v>215</v>
      </c>
      <c r="Q437" s="2" t="s">
        <v>97</v>
      </c>
      <c r="R437" s="2" t="s">
        <v>98</v>
      </c>
      <c r="S437" s="2" t="s">
        <v>1570</v>
      </c>
      <c r="T437" s="2" t="s">
        <v>878</v>
      </c>
      <c r="U437" s="2" t="s">
        <v>1494</v>
      </c>
      <c r="V437" s="2" t="s">
        <v>1416</v>
      </c>
      <c r="W437" s="2" t="s">
        <v>567</v>
      </c>
      <c r="X437" s="2" t="s">
        <v>98</v>
      </c>
      <c r="Y437" s="2" t="s">
        <v>1169</v>
      </c>
      <c r="Z437" s="4"/>
      <c r="AA437" s="4">
        <f>=ROUNDDOWN({0},0)</f>
      </c>
      <c r="AB437" s="5">
        <v>3.5</v>
      </c>
      <c r="AC437" s="2" t="s">
        <v>98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16</v>
      </c>
      <c r="AQ437" s="8">
        <v>335.2</v>
      </c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0.5161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56</v>
      </c>
      <c r="BK437" s="8">
        <v>1172.71</v>
      </c>
      <c r="BL437" s="2" t="s">
        <v>1575</v>
      </c>
      <c r="BM437" s="7">
        <v>0.2857</v>
      </c>
      <c r="BN437" s="7">
        <v>0.2858</v>
      </c>
      <c r="BO437" s="4">
        <v>16</v>
      </c>
      <c r="BP437" s="8">
        <v>335.2</v>
      </c>
      <c r="BQ437" s="4"/>
      <c r="BR437" s="8"/>
      <c r="BS437" s="7"/>
      <c r="BT437" s="7"/>
      <c r="BU437" s="2" t="s">
        <v>107</v>
      </c>
      <c r="BV437" s="2" t="s">
        <v>352</v>
      </c>
      <c r="BW437" s="2" t="s">
        <v>1258</v>
      </c>
      <c r="BX437" s="2" t="s">
        <v>1576</v>
      </c>
      <c r="BY437" s="2" t="s">
        <v>111</v>
      </c>
    </row>
    <row r="438">
      <c r="A438" s="2" t="s">
        <v>1577</v>
      </c>
      <c r="B438" s="2" t="s">
        <v>86</v>
      </c>
      <c r="C438" s="2" t="s">
        <v>87</v>
      </c>
      <c r="D438" s="2" t="s">
        <v>88</v>
      </c>
      <c r="E438" s="2" t="s">
        <v>1465</v>
      </c>
      <c r="F438" s="2" t="s">
        <v>1565</v>
      </c>
      <c r="G438" s="2" t="s">
        <v>1566</v>
      </c>
      <c r="H438" s="2" t="s">
        <v>1567</v>
      </c>
      <c r="I438" s="2" t="s">
        <v>1568</v>
      </c>
      <c r="J438" s="2" t="s">
        <v>1569</v>
      </c>
      <c r="K438" s="2" t="s">
        <v>400</v>
      </c>
      <c r="L438" s="3">
        <v>19</v>
      </c>
      <c r="M438" s="3">
        <v>19.95</v>
      </c>
      <c r="N438" s="3">
        <v>39.99</v>
      </c>
      <c r="O438" s="2" t="s">
        <v>95</v>
      </c>
      <c r="P438" s="2" t="s">
        <v>215</v>
      </c>
      <c r="Q438" s="2" t="s">
        <v>97</v>
      </c>
      <c r="R438" s="2" t="s">
        <v>98</v>
      </c>
      <c r="S438" s="2" t="s">
        <v>1578</v>
      </c>
      <c r="T438" s="2" t="s">
        <v>878</v>
      </c>
      <c r="U438" s="2" t="s">
        <v>1494</v>
      </c>
      <c r="V438" s="2" t="s">
        <v>1416</v>
      </c>
      <c r="W438" s="2" t="s">
        <v>567</v>
      </c>
      <c r="X438" s="2" t="s">
        <v>98</v>
      </c>
      <c r="Y438" s="2" t="s">
        <v>1169</v>
      </c>
      <c r="Z438" s="4">
        <v>202</v>
      </c>
      <c r="AA438" s="4">
        <f>=ROUNDDOWN(42.0833333333333,0)</f>
      </c>
      <c r="AB438" s="5">
        <v>4.8</v>
      </c>
      <c r="AC438" s="2" t="s">
        <v>98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15</v>
      </c>
      <c r="AQ438" s="8">
        <v>314.25</v>
      </c>
      <c r="AR438" s="4"/>
      <c r="AS438" s="8"/>
      <c r="AT438" s="7"/>
      <c r="AU438" s="7"/>
      <c r="AV438" s="4">
        <v>15</v>
      </c>
      <c r="AW438" s="8">
        <v>314.25</v>
      </c>
      <c r="AX438" s="4"/>
      <c r="AY438" s="8"/>
      <c r="AZ438" s="7"/>
      <c r="BA438" s="7"/>
      <c r="BB438" s="7">
        <v>1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0.3261</v>
      </c>
      <c r="BJ438" s="4">
        <v>37</v>
      </c>
      <c r="BK438" s="8">
        <v>796.04</v>
      </c>
      <c r="BL438" s="2" t="s">
        <v>1579</v>
      </c>
      <c r="BM438" s="7">
        <v>0.4054</v>
      </c>
      <c r="BN438" s="7">
        <v>0.3948</v>
      </c>
      <c r="BO438" s="4">
        <v>15</v>
      </c>
      <c r="BP438" s="8">
        <v>314.25</v>
      </c>
      <c r="BQ438" s="4"/>
      <c r="BR438" s="8"/>
      <c r="BS438" s="7"/>
      <c r="BT438" s="7"/>
      <c r="BU438" s="2" t="s">
        <v>107</v>
      </c>
      <c r="BV438" s="2" t="s">
        <v>108</v>
      </c>
      <c r="BW438" s="2" t="s">
        <v>1258</v>
      </c>
      <c r="BX438" s="2" t="s">
        <v>1580</v>
      </c>
      <c r="BY438" s="2" t="s">
        <v>111</v>
      </c>
    </row>
    <row r="439">
      <c r="A439" s="2" t="s">
        <v>1581</v>
      </c>
      <c r="B439" s="2" t="s">
        <v>86</v>
      </c>
      <c r="C439" s="2" t="s">
        <v>87</v>
      </c>
      <c r="D439" s="2" t="s">
        <v>88</v>
      </c>
      <c r="E439" s="2" t="s">
        <v>1465</v>
      </c>
      <c r="F439" s="2" t="s">
        <v>1582</v>
      </c>
      <c r="G439" s="2" t="s">
        <v>1583</v>
      </c>
      <c r="H439" s="2" t="s">
        <v>1584</v>
      </c>
      <c r="I439" s="2" t="s">
        <v>1585</v>
      </c>
      <c r="J439" s="2" t="s">
        <v>1569</v>
      </c>
      <c r="K439" s="2" t="s">
        <v>464</v>
      </c>
      <c r="L439" s="3">
        <v>10.75</v>
      </c>
      <c r="M439" s="3">
        <v>11.29</v>
      </c>
      <c r="N439" s="3">
        <v>27.99</v>
      </c>
      <c r="O439" s="2" t="s">
        <v>241</v>
      </c>
      <c r="P439" s="2" t="s">
        <v>215</v>
      </c>
      <c r="Q439" s="2" t="s">
        <v>97</v>
      </c>
      <c r="R439" s="2" t="s">
        <v>98</v>
      </c>
      <c r="S439" s="2" t="s">
        <v>1586</v>
      </c>
      <c r="T439" s="2" t="s">
        <v>98</v>
      </c>
      <c r="U439" s="2" t="s">
        <v>1494</v>
      </c>
      <c r="V439" s="2" t="s">
        <v>482</v>
      </c>
      <c r="W439" s="2" t="s">
        <v>567</v>
      </c>
      <c r="X439" s="2" t="s">
        <v>98</v>
      </c>
      <c r="Y439" s="2" t="s">
        <v>1587</v>
      </c>
      <c r="Z439" s="4"/>
      <c r="AA439" s="4">
        <f>=ROUNDDOWN({0},0)</f>
      </c>
      <c r="AB439" s="5">
        <v>10</v>
      </c>
      <c r="AC439" s="2" t="s">
        <v>98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13</v>
      </c>
      <c r="AQ439" s="8">
        <v>154.05</v>
      </c>
      <c r="AR439" s="4"/>
      <c r="AS439" s="8"/>
      <c r="AT439" s="7"/>
      <c r="AU439" s="7"/>
      <c r="AV439" s="4">
        <v>21</v>
      </c>
      <c r="AW439" s="8">
        <v>270.93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>
        <v>0.5686</v>
      </c>
      <c r="BC439" s="4">
        <v>49</v>
      </c>
      <c r="BD439" s="8">
        <v>616.53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0.4394</v>
      </c>
      <c r="BJ439" s="4">
        <v>79</v>
      </c>
      <c r="BK439" s="8">
        <v>984.99</v>
      </c>
      <c r="BL439" s="2" t="s">
        <v>1575</v>
      </c>
      <c r="BM439" s="7">
        <v>0.1646</v>
      </c>
      <c r="BN439" s="7">
        <v>0.1564</v>
      </c>
      <c r="BO439" s="4">
        <v>13</v>
      </c>
      <c r="BP439" s="8">
        <v>154.05</v>
      </c>
      <c r="BQ439" s="4"/>
      <c r="BR439" s="8"/>
      <c r="BS439" s="7"/>
      <c r="BT439" s="7"/>
      <c r="BU439" s="2" t="s">
        <v>107</v>
      </c>
      <c r="BV439" s="2" t="s">
        <v>352</v>
      </c>
      <c r="BW439" s="2" t="s">
        <v>1258</v>
      </c>
      <c r="BX439" s="2" t="s">
        <v>1013</v>
      </c>
      <c r="BY439" s="2" t="s">
        <v>111</v>
      </c>
    </row>
    <row r="440">
      <c r="A440" s="2" t="s">
        <v>1588</v>
      </c>
      <c r="B440" s="2" t="s">
        <v>86</v>
      </c>
      <c r="C440" s="2" t="s">
        <v>87</v>
      </c>
      <c r="D440" s="2" t="s">
        <v>88</v>
      </c>
      <c r="E440" s="2" t="s">
        <v>1465</v>
      </c>
      <c r="F440" s="2" t="s">
        <v>1582</v>
      </c>
      <c r="G440" s="2" t="s">
        <v>1583</v>
      </c>
      <c r="H440" s="2" t="s">
        <v>1584</v>
      </c>
      <c r="I440" s="2" t="s">
        <v>1585</v>
      </c>
      <c r="J440" s="2" t="s">
        <v>1574</v>
      </c>
      <c r="K440" s="2" t="s">
        <v>464</v>
      </c>
      <c r="L440" s="3">
        <v>13.25</v>
      </c>
      <c r="M440" s="3">
        <v>13.91</v>
      </c>
      <c r="N440" s="3">
        <v>33.99</v>
      </c>
      <c r="O440" s="2" t="s">
        <v>95</v>
      </c>
      <c r="P440" s="2" t="s">
        <v>215</v>
      </c>
      <c r="Q440" s="2" t="s">
        <v>97</v>
      </c>
      <c r="R440" s="2" t="s">
        <v>98</v>
      </c>
      <c r="S440" s="2" t="s">
        <v>1586</v>
      </c>
      <c r="T440" s="2" t="s">
        <v>98</v>
      </c>
      <c r="U440" s="2" t="s">
        <v>1494</v>
      </c>
      <c r="V440" s="2" t="s">
        <v>482</v>
      </c>
      <c r="W440" s="2" t="s">
        <v>567</v>
      </c>
      <c r="X440" s="2" t="s">
        <v>98</v>
      </c>
      <c r="Y440" s="2" t="s">
        <v>1587</v>
      </c>
      <c r="Z440" s="4">
        <v>32</v>
      </c>
      <c r="AA440" s="4">
        <f>=ROUNDDOWN(16,0)</f>
      </c>
      <c r="AB440" s="5">
        <v>2</v>
      </c>
      <c r="AC440" s="2" t="s">
        <v>98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8</v>
      </c>
      <c r="AQ440" s="8">
        <v>116.88</v>
      </c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>
        <v>0.4314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25</v>
      </c>
      <c r="BK440" s="8">
        <v>372.88</v>
      </c>
      <c r="BL440" s="2" t="s">
        <v>1579</v>
      </c>
      <c r="BM440" s="7">
        <v>0.32</v>
      </c>
      <c r="BN440" s="7">
        <v>0.3135</v>
      </c>
      <c r="BO440" s="4">
        <v>8</v>
      </c>
      <c r="BP440" s="8">
        <v>116.88</v>
      </c>
      <c r="BQ440" s="4"/>
      <c r="BR440" s="8"/>
      <c r="BS440" s="7"/>
      <c r="BT440" s="7"/>
      <c r="BU440" s="2" t="s">
        <v>107</v>
      </c>
      <c r="BV440" s="2" t="s">
        <v>108</v>
      </c>
      <c r="BW440" s="2" t="s">
        <v>1258</v>
      </c>
      <c r="BX440" s="2" t="s">
        <v>610</v>
      </c>
      <c r="BY440" s="2" t="s">
        <v>111</v>
      </c>
    </row>
    <row r="441">
      <c r="A441" s="2" t="s">
        <v>1589</v>
      </c>
      <c r="B441" s="2" t="s">
        <v>86</v>
      </c>
      <c r="C441" s="2" t="s">
        <v>87</v>
      </c>
      <c r="D441" s="2" t="s">
        <v>88</v>
      </c>
      <c r="E441" s="2" t="s">
        <v>1465</v>
      </c>
      <c r="F441" s="2" t="s">
        <v>1582</v>
      </c>
      <c r="G441" s="2" t="s">
        <v>1583</v>
      </c>
      <c r="H441" s="2" t="s">
        <v>1584</v>
      </c>
      <c r="I441" s="2" t="s">
        <v>1585</v>
      </c>
      <c r="J441" s="2" t="s">
        <v>1569</v>
      </c>
      <c r="K441" s="2" t="s">
        <v>323</v>
      </c>
      <c r="L441" s="3">
        <v>10.75</v>
      </c>
      <c r="M441" s="3">
        <v>11.29</v>
      </c>
      <c r="N441" s="3">
        <v>27.99</v>
      </c>
      <c r="O441" s="2" t="s">
        <v>241</v>
      </c>
      <c r="P441" s="2" t="s">
        <v>215</v>
      </c>
      <c r="Q441" s="2" t="s">
        <v>97</v>
      </c>
      <c r="R441" s="2" t="s">
        <v>98</v>
      </c>
      <c r="S441" s="2" t="s">
        <v>1590</v>
      </c>
      <c r="T441" s="2" t="s">
        <v>98</v>
      </c>
      <c r="U441" s="2" t="s">
        <v>1494</v>
      </c>
      <c r="V441" s="2" t="s">
        <v>482</v>
      </c>
      <c r="W441" s="2" t="s">
        <v>567</v>
      </c>
      <c r="X441" s="2" t="s">
        <v>98</v>
      </c>
      <c r="Y441" s="2" t="s">
        <v>1587</v>
      </c>
      <c r="Z441" s="4"/>
      <c r="AA441" s="4">
        <f>=ROUNDDOWN({0},0)</f>
      </c>
      <c r="AB441" s="5">
        <v>1.4</v>
      </c>
      <c r="AC441" s="2" t="s">
        <v>98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18</v>
      </c>
      <c r="AQ441" s="8">
        <v>213.3</v>
      </c>
      <c r="AR441" s="4"/>
      <c r="AS441" s="8"/>
      <c r="AT441" s="7"/>
      <c r="AU441" s="7"/>
      <c r="AV441" s="4">
        <v>20</v>
      </c>
      <c r="AW441" s="8">
        <v>242.52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0.8795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0.3934</v>
      </c>
      <c r="BJ441" s="4">
        <v>93</v>
      </c>
      <c r="BK441" s="8">
        <v>1124.97</v>
      </c>
      <c r="BL441" s="2" t="s">
        <v>1591</v>
      </c>
      <c r="BM441" s="7">
        <v>0.1935</v>
      </c>
      <c r="BN441" s="7">
        <v>0.1896</v>
      </c>
      <c r="BO441" s="4">
        <v>18</v>
      </c>
      <c r="BP441" s="8">
        <v>213.3</v>
      </c>
      <c r="BQ441" s="4"/>
      <c r="BR441" s="8"/>
      <c r="BS441" s="7"/>
      <c r="BT441" s="7"/>
      <c r="BU441" s="2" t="s">
        <v>107</v>
      </c>
      <c r="BV441" s="2" t="s">
        <v>352</v>
      </c>
      <c r="BW441" s="2" t="s">
        <v>1258</v>
      </c>
      <c r="BX441" s="2" t="s">
        <v>525</v>
      </c>
      <c r="BY441" s="2" t="s">
        <v>111</v>
      </c>
    </row>
    <row r="442">
      <c r="A442" s="2" t="s">
        <v>1592</v>
      </c>
      <c r="B442" s="2" t="s">
        <v>86</v>
      </c>
      <c r="C442" s="2" t="s">
        <v>87</v>
      </c>
      <c r="D442" s="2" t="s">
        <v>88</v>
      </c>
      <c r="E442" s="2" t="s">
        <v>1465</v>
      </c>
      <c r="F442" s="2" t="s">
        <v>1582</v>
      </c>
      <c r="G442" s="2" t="s">
        <v>1583</v>
      </c>
      <c r="H442" s="2" t="s">
        <v>1584</v>
      </c>
      <c r="I442" s="2" t="s">
        <v>1585</v>
      </c>
      <c r="J442" s="2" t="s">
        <v>1574</v>
      </c>
      <c r="K442" s="2" t="s">
        <v>323</v>
      </c>
      <c r="L442" s="3">
        <v>13.25</v>
      </c>
      <c r="M442" s="3">
        <v>13.91</v>
      </c>
      <c r="N442" s="3">
        <v>33.99</v>
      </c>
      <c r="O442" s="2" t="s">
        <v>95</v>
      </c>
      <c r="P442" s="2" t="s">
        <v>215</v>
      </c>
      <c r="Q442" s="2" t="s">
        <v>97</v>
      </c>
      <c r="R442" s="2" t="s">
        <v>98</v>
      </c>
      <c r="S442" s="2" t="s">
        <v>1590</v>
      </c>
      <c r="T442" s="2" t="s">
        <v>98</v>
      </c>
      <c r="U442" s="2" t="s">
        <v>1494</v>
      </c>
      <c r="V442" s="2" t="s">
        <v>482</v>
      </c>
      <c r="W442" s="2" t="s">
        <v>567</v>
      </c>
      <c r="X442" s="2" t="s">
        <v>98</v>
      </c>
      <c r="Y442" s="2" t="s">
        <v>1587</v>
      </c>
      <c r="Z442" s="4">
        <v>51</v>
      </c>
      <c r="AA442" s="4">
        <f>=ROUNDDOWN(13.0769230769231,0)</f>
      </c>
      <c r="AB442" s="5">
        <v>3.9</v>
      </c>
      <c r="AC442" s="2" t="s">
        <v>98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2</v>
      </c>
      <c r="AQ442" s="8">
        <v>29.22</v>
      </c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0.1205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21</v>
      </c>
      <c r="BK442" s="8">
        <v>318.2</v>
      </c>
      <c r="BL442" s="2" t="s">
        <v>1575</v>
      </c>
      <c r="BM442" s="7">
        <v>0.0952</v>
      </c>
      <c r="BN442" s="7">
        <v>0.0918</v>
      </c>
      <c r="BO442" s="4">
        <v>2</v>
      </c>
      <c r="BP442" s="8">
        <v>29.22</v>
      </c>
      <c r="BQ442" s="4"/>
      <c r="BR442" s="8"/>
      <c r="BS442" s="7"/>
      <c r="BT442" s="7"/>
      <c r="BU442" s="2" t="s">
        <v>107</v>
      </c>
      <c r="BV442" s="2" t="s">
        <v>108</v>
      </c>
      <c r="BW442" s="2" t="s">
        <v>1258</v>
      </c>
      <c r="BX442" s="2" t="s">
        <v>302</v>
      </c>
      <c r="BY442" s="2" t="s">
        <v>111</v>
      </c>
    </row>
    <row r="443">
      <c r="A443" s="2" t="s">
        <v>1593</v>
      </c>
      <c r="B443" s="2" t="s">
        <v>86</v>
      </c>
      <c r="C443" s="2" t="s">
        <v>87</v>
      </c>
      <c r="D443" s="2" t="s">
        <v>88</v>
      </c>
      <c r="E443" s="2" t="s">
        <v>1465</v>
      </c>
      <c r="F443" s="2" t="s">
        <v>1582</v>
      </c>
      <c r="G443" s="2" t="s">
        <v>1583</v>
      </c>
      <c r="H443" s="2" t="s">
        <v>1584</v>
      </c>
      <c r="I443" s="2" t="s">
        <v>1585</v>
      </c>
      <c r="J443" s="2" t="s">
        <v>1569</v>
      </c>
      <c r="K443" s="2" t="s">
        <v>1414</v>
      </c>
      <c r="L443" s="3">
        <v>10.75</v>
      </c>
      <c r="M443" s="3">
        <v>11.29</v>
      </c>
      <c r="N443" s="3">
        <v>27.99</v>
      </c>
      <c r="O443" s="2" t="s">
        <v>95</v>
      </c>
      <c r="P443" s="2" t="s">
        <v>215</v>
      </c>
      <c r="Q443" s="2" t="s">
        <v>97</v>
      </c>
      <c r="R443" s="2" t="s">
        <v>98</v>
      </c>
      <c r="S443" s="2" t="s">
        <v>1594</v>
      </c>
      <c r="T443" s="2" t="s">
        <v>98</v>
      </c>
      <c r="U443" s="2" t="s">
        <v>1494</v>
      </c>
      <c r="V443" s="2" t="s">
        <v>482</v>
      </c>
      <c r="W443" s="2" t="s">
        <v>567</v>
      </c>
      <c r="X443" s="2" t="s">
        <v>1220</v>
      </c>
      <c r="Y443" s="2" t="s">
        <v>1587</v>
      </c>
      <c r="Z443" s="4">
        <v>82</v>
      </c>
      <c r="AA443" s="4">
        <f>=ROUNDDOWN(13.6666666666667,0)</f>
      </c>
      <c r="AB443" s="5">
        <v>6</v>
      </c>
      <c r="AC443" s="2" t="s">
        <v>98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5</v>
      </c>
      <c r="AQ443" s="8">
        <v>59.25</v>
      </c>
      <c r="AR443" s="4"/>
      <c r="AS443" s="8"/>
      <c r="AT443" s="7"/>
      <c r="AU443" s="7"/>
      <c r="AV443" s="4">
        <v>8</v>
      </c>
      <c r="AW443" s="8">
        <v>103.08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0.5748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0.1672</v>
      </c>
      <c r="BJ443" s="4">
        <v>60</v>
      </c>
      <c r="BK443" s="8">
        <v>742.31</v>
      </c>
      <c r="BL443" s="2" t="s">
        <v>1591</v>
      </c>
      <c r="BM443" s="7">
        <v>0.0833</v>
      </c>
      <c r="BN443" s="7">
        <v>0.0798</v>
      </c>
      <c r="BO443" s="4">
        <v>5</v>
      </c>
      <c r="BP443" s="8">
        <v>59.25</v>
      </c>
      <c r="BQ443" s="4"/>
      <c r="BR443" s="8"/>
      <c r="BS443" s="7"/>
      <c r="BT443" s="7"/>
      <c r="BU443" s="2" t="s">
        <v>107</v>
      </c>
      <c r="BV443" s="2" t="s">
        <v>108</v>
      </c>
      <c r="BW443" s="2" t="s">
        <v>1258</v>
      </c>
      <c r="BX443" s="2" t="s">
        <v>610</v>
      </c>
      <c r="BY443" s="2" t="s">
        <v>111</v>
      </c>
    </row>
    <row r="444">
      <c r="A444" s="2" t="s">
        <v>1595</v>
      </c>
      <c r="B444" s="2" t="s">
        <v>86</v>
      </c>
      <c r="C444" s="2" t="s">
        <v>87</v>
      </c>
      <c r="D444" s="2" t="s">
        <v>88</v>
      </c>
      <c r="E444" s="2" t="s">
        <v>1465</v>
      </c>
      <c r="F444" s="2" t="s">
        <v>1582</v>
      </c>
      <c r="G444" s="2" t="s">
        <v>1583</v>
      </c>
      <c r="H444" s="2" t="s">
        <v>1584</v>
      </c>
      <c r="I444" s="2" t="s">
        <v>1585</v>
      </c>
      <c r="J444" s="2" t="s">
        <v>1574</v>
      </c>
      <c r="K444" s="2" t="s">
        <v>1414</v>
      </c>
      <c r="L444" s="3">
        <v>13.25</v>
      </c>
      <c r="M444" s="3">
        <v>13.91</v>
      </c>
      <c r="N444" s="3">
        <v>33.99</v>
      </c>
      <c r="O444" s="2" t="s">
        <v>95</v>
      </c>
      <c r="P444" s="2" t="s">
        <v>215</v>
      </c>
      <c r="Q444" s="2" t="s">
        <v>97</v>
      </c>
      <c r="R444" s="2" t="s">
        <v>98</v>
      </c>
      <c r="S444" s="2" t="s">
        <v>1594</v>
      </c>
      <c r="T444" s="2" t="s">
        <v>98</v>
      </c>
      <c r="U444" s="2" t="s">
        <v>1494</v>
      </c>
      <c r="V444" s="2" t="s">
        <v>482</v>
      </c>
      <c r="W444" s="2" t="s">
        <v>567</v>
      </c>
      <c r="X444" s="2" t="s">
        <v>1220</v>
      </c>
      <c r="Y444" s="2" t="s">
        <v>1587</v>
      </c>
      <c r="Z444" s="4">
        <v>64</v>
      </c>
      <c r="AA444" s="4">
        <f>=ROUNDDOWN(32,0)</f>
      </c>
      <c r="AB444" s="5">
        <v>2</v>
      </c>
      <c r="AC444" s="2" t="s">
        <v>98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3</v>
      </c>
      <c r="AQ444" s="8">
        <v>43.83</v>
      </c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>
        <v>0.4252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17</v>
      </c>
      <c r="BK444" s="8">
        <v>240.71</v>
      </c>
      <c r="BL444" s="2" t="s">
        <v>1579</v>
      </c>
      <c r="BM444" s="7">
        <v>0.1765</v>
      </c>
      <c r="BN444" s="7">
        <v>0.1821</v>
      </c>
      <c r="BO444" s="4">
        <v>3</v>
      </c>
      <c r="BP444" s="8">
        <v>43.83</v>
      </c>
      <c r="BQ444" s="4"/>
      <c r="BR444" s="8"/>
      <c r="BS444" s="7"/>
      <c r="BT444" s="7"/>
      <c r="BU444" s="2" t="s">
        <v>107</v>
      </c>
      <c r="BV444" s="2" t="s">
        <v>108</v>
      </c>
      <c r="BW444" s="2" t="s">
        <v>1258</v>
      </c>
      <c r="BX444" s="2" t="s">
        <v>862</v>
      </c>
      <c r="BY444" s="2" t="s">
        <v>111</v>
      </c>
    </row>
    <row r="445">
      <c r="A445" s="2" t="s">
        <v>1596</v>
      </c>
      <c r="B445" s="2" t="s">
        <v>86</v>
      </c>
      <c r="C445" s="2" t="s">
        <v>87</v>
      </c>
      <c r="D445" s="2" t="s">
        <v>88</v>
      </c>
      <c r="E445" s="2" t="s">
        <v>1597</v>
      </c>
      <c r="F445" s="2" t="s">
        <v>793</v>
      </c>
      <c r="G445" s="2" t="s">
        <v>794</v>
      </c>
      <c r="H445" s="2" t="s">
        <v>1598</v>
      </c>
      <c r="I445" s="2" t="s">
        <v>1599</v>
      </c>
      <c r="J445" s="2" t="s">
        <v>93</v>
      </c>
      <c r="K445" s="2" t="s">
        <v>299</v>
      </c>
      <c r="L445" s="3">
        <v>25.3</v>
      </c>
      <c r="M445" s="3">
        <v>26.56</v>
      </c>
      <c r="N445" s="3">
        <v>54.99</v>
      </c>
      <c r="O445" s="2" t="s">
        <v>95</v>
      </c>
      <c r="P445" s="2" t="s">
        <v>699</v>
      </c>
      <c r="Q445" s="2" t="s">
        <v>97</v>
      </c>
      <c r="R445" s="2" t="s">
        <v>98</v>
      </c>
      <c r="S445" s="2" t="s">
        <v>1600</v>
      </c>
      <c r="T445" s="2" t="s">
        <v>98</v>
      </c>
      <c r="U445" s="2" t="s">
        <v>98</v>
      </c>
      <c r="V445" s="2" t="s">
        <v>798</v>
      </c>
      <c r="W445" s="2" t="s">
        <v>649</v>
      </c>
      <c r="X445" s="2" t="s">
        <v>372</v>
      </c>
      <c r="Y445" s="2" t="s">
        <v>1601</v>
      </c>
      <c r="Z445" s="4">
        <v>243</v>
      </c>
      <c r="AA445" s="4">
        <f>=ROUNDDOWN(5.4,0)</f>
      </c>
      <c r="AB445" s="5">
        <v>45</v>
      </c>
      <c r="AC445" s="2" t="s">
        <v>489</v>
      </c>
      <c r="AD445" s="4">
        <v>228</v>
      </c>
      <c r="AE445" s="4">
        <v>1344</v>
      </c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38</v>
      </c>
      <c r="AQ445" s="8">
        <v>1045</v>
      </c>
      <c r="AR445" s="4">
        <v>124</v>
      </c>
      <c r="AS445" s="8">
        <v>2891.68</v>
      </c>
      <c r="AT445" s="7">
        <v>-0.6935</v>
      </c>
      <c r="AU445" s="7">
        <v>-0.6386</v>
      </c>
      <c r="AV445" s="4">
        <v>56</v>
      </c>
      <c r="AW445" s="8">
        <v>1640</v>
      </c>
      <c r="AX445" s="4">
        <v>294</v>
      </c>
      <c r="AY445" s="8">
        <v>7513.18</v>
      </c>
      <c r="AZ445" s="7">
        <v>-0.8095</v>
      </c>
      <c r="BA445" s="7">
        <v>-0.7817</v>
      </c>
      <c r="BB445" s="7">
        <v>0.6372</v>
      </c>
      <c r="BC445" s="4">
        <v>173</v>
      </c>
      <c r="BD445" s="8">
        <v>5335</v>
      </c>
      <c r="BE445" s="4">
        <v>942</v>
      </c>
      <c r="BF445" s="8">
        <v>23973.56</v>
      </c>
      <c r="BG445" s="7">
        <v>-0.8163</v>
      </c>
      <c r="BH445" s="7">
        <v>-0.7775</v>
      </c>
      <c r="BI445" s="7">
        <v>0.3074</v>
      </c>
      <c r="BJ445" s="4">
        <v>509</v>
      </c>
      <c r="BK445" s="8">
        <v>14279.54</v>
      </c>
      <c r="BL445" s="2" t="s">
        <v>1602</v>
      </c>
      <c r="BM445" s="7">
        <v>0.0747</v>
      </c>
      <c r="BN445" s="7">
        <v>0.0732</v>
      </c>
      <c r="BO445" s="4">
        <v>38</v>
      </c>
      <c r="BP445" s="8">
        <v>1045</v>
      </c>
      <c r="BQ445" s="4">
        <v>124</v>
      </c>
      <c r="BR445" s="8">
        <v>2891.68</v>
      </c>
      <c r="BS445" s="7">
        <v>-0.6935</v>
      </c>
      <c r="BT445" s="7">
        <v>-0.6386</v>
      </c>
      <c r="BU445" s="2" t="s">
        <v>107</v>
      </c>
      <c r="BV445" s="2" t="s">
        <v>108</v>
      </c>
      <c r="BW445" s="2" t="s">
        <v>244</v>
      </c>
      <c r="BX445" s="2" t="s">
        <v>1603</v>
      </c>
      <c r="BY445" s="2" t="s">
        <v>111</v>
      </c>
    </row>
    <row r="446">
      <c r="A446" s="2" t="s">
        <v>1604</v>
      </c>
      <c r="B446" s="2" t="s">
        <v>86</v>
      </c>
      <c r="C446" s="2" t="s">
        <v>87</v>
      </c>
      <c r="D446" s="2" t="s">
        <v>88</v>
      </c>
      <c r="E446" s="2" t="s">
        <v>1597</v>
      </c>
      <c r="F446" s="2" t="s">
        <v>793</v>
      </c>
      <c r="G446" s="2" t="s">
        <v>794</v>
      </c>
      <c r="H446" s="2" t="s">
        <v>1598</v>
      </c>
      <c r="I446" s="2" t="s">
        <v>1599</v>
      </c>
      <c r="J446" s="2" t="s">
        <v>113</v>
      </c>
      <c r="K446" s="2" t="s">
        <v>299</v>
      </c>
      <c r="L446" s="3">
        <v>29.9</v>
      </c>
      <c r="M446" s="3">
        <v>31.4</v>
      </c>
      <c r="N446" s="3">
        <v>64.99</v>
      </c>
      <c r="O446" s="2" t="s">
        <v>95</v>
      </c>
      <c r="P446" s="2" t="s">
        <v>699</v>
      </c>
      <c r="Q446" s="2" t="s">
        <v>97</v>
      </c>
      <c r="R446" s="2" t="s">
        <v>98</v>
      </c>
      <c r="S446" s="2" t="s">
        <v>1600</v>
      </c>
      <c r="T446" s="2" t="s">
        <v>98</v>
      </c>
      <c r="U446" s="2" t="s">
        <v>98</v>
      </c>
      <c r="V446" s="2" t="s">
        <v>798</v>
      </c>
      <c r="W446" s="2" t="s">
        <v>649</v>
      </c>
      <c r="X446" s="2" t="s">
        <v>372</v>
      </c>
      <c r="Y446" s="2" t="s">
        <v>1601</v>
      </c>
      <c r="Z446" s="4">
        <v>63</v>
      </c>
      <c r="AA446" s="4">
        <f>=ROUNDDOWN(3.70588235294118,0)</f>
      </c>
      <c r="AB446" s="5">
        <v>17</v>
      </c>
      <c r="AC446" s="2" t="s">
        <v>489</v>
      </c>
      <c r="AD446" s="4">
        <v>136</v>
      </c>
      <c r="AE446" s="4">
        <v>556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14</v>
      </c>
      <c r="AQ446" s="8">
        <v>455</v>
      </c>
      <c r="AR446" s="4">
        <v>140</v>
      </c>
      <c r="AS446" s="8">
        <v>3750.6</v>
      </c>
      <c r="AT446" s="7">
        <v>-0.9</v>
      </c>
      <c r="AU446" s="7">
        <v>-0.8787</v>
      </c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0.2774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165</v>
      </c>
      <c r="BK446" s="8">
        <v>5308.31</v>
      </c>
      <c r="BL446" s="2" t="s">
        <v>254</v>
      </c>
      <c r="BM446" s="7">
        <v>0.0848</v>
      </c>
      <c r="BN446" s="7">
        <v>0.0857</v>
      </c>
      <c r="BO446" s="4">
        <v>14</v>
      </c>
      <c r="BP446" s="8">
        <v>455</v>
      </c>
      <c r="BQ446" s="4">
        <v>140</v>
      </c>
      <c r="BR446" s="8">
        <v>3750.6</v>
      </c>
      <c r="BS446" s="7">
        <v>-0.9</v>
      </c>
      <c r="BT446" s="7">
        <v>-0.8787</v>
      </c>
      <c r="BU446" s="2" t="s">
        <v>107</v>
      </c>
      <c r="BV446" s="2" t="s">
        <v>108</v>
      </c>
      <c r="BW446" s="2" t="s">
        <v>244</v>
      </c>
      <c r="BX446" s="2" t="s">
        <v>393</v>
      </c>
      <c r="BY446" s="2" t="s">
        <v>111</v>
      </c>
    </row>
    <row r="447">
      <c r="A447" s="2" t="s">
        <v>1605</v>
      </c>
      <c r="B447" s="2" t="s">
        <v>86</v>
      </c>
      <c r="C447" s="2" t="s">
        <v>87</v>
      </c>
      <c r="D447" s="2" t="s">
        <v>88</v>
      </c>
      <c r="E447" s="2" t="s">
        <v>1597</v>
      </c>
      <c r="F447" s="2" t="s">
        <v>793</v>
      </c>
      <c r="G447" s="2" t="s">
        <v>794</v>
      </c>
      <c r="H447" s="2" t="s">
        <v>1598</v>
      </c>
      <c r="I447" s="2" t="s">
        <v>1599</v>
      </c>
      <c r="J447" s="2" t="s">
        <v>118</v>
      </c>
      <c r="K447" s="2" t="s">
        <v>299</v>
      </c>
      <c r="L447" s="3">
        <v>31.5</v>
      </c>
      <c r="M447" s="3">
        <v>33.08</v>
      </c>
      <c r="N447" s="3">
        <v>69.99</v>
      </c>
      <c r="O447" s="2" t="s">
        <v>95</v>
      </c>
      <c r="P447" s="2" t="s">
        <v>699</v>
      </c>
      <c r="Q447" s="2" t="s">
        <v>97</v>
      </c>
      <c r="R447" s="2" t="s">
        <v>98</v>
      </c>
      <c r="S447" s="2" t="s">
        <v>1600</v>
      </c>
      <c r="T447" s="2" t="s">
        <v>98</v>
      </c>
      <c r="U447" s="2" t="s">
        <v>98</v>
      </c>
      <c r="V447" s="2" t="s">
        <v>798</v>
      </c>
      <c r="W447" s="2" t="s">
        <v>649</v>
      </c>
      <c r="X447" s="2" t="s">
        <v>372</v>
      </c>
      <c r="Y447" s="2" t="s">
        <v>1601</v>
      </c>
      <c r="Z447" s="4">
        <v>15</v>
      </c>
      <c r="AA447" s="4">
        <f>=ROUNDDOWN(3,0)</f>
      </c>
      <c r="AB447" s="5">
        <v>5</v>
      </c>
      <c r="AC447" s="2" t="s">
        <v>489</v>
      </c>
      <c r="AD447" s="4">
        <v>52</v>
      </c>
      <c r="AE447" s="4">
        <v>144</v>
      </c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4</v>
      </c>
      <c r="AQ447" s="8">
        <v>140</v>
      </c>
      <c r="AR447" s="4">
        <v>30</v>
      </c>
      <c r="AS447" s="8">
        <v>870.9</v>
      </c>
      <c r="AT447" s="7">
        <v>-0.8667</v>
      </c>
      <c r="AU447" s="7">
        <v>-0.8392</v>
      </c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>
        <v>0.0854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61</v>
      </c>
      <c r="BK447" s="8">
        <v>2078.55</v>
      </c>
      <c r="BL447" s="2" t="s">
        <v>279</v>
      </c>
      <c r="BM447" s="7">
        <v>0.0656</v>
      </c>
      <c r="BN447" s="7">
        <v>0.0674</v>
      </c>
      <c r="BO447" s="4">
        <v>4</v>
      </c>
      <c r="BP447" s="8">
        <v>140</v>
      </c>
      <c r="BQ447" s="4">
        <v>30</v>
      </c>
      <c r="BR447" s="8">
        <v>870.9</v>
      </c>
      <c r="BS447" s="7">
        <v>-0.8667</v>
      </c>
      <c r="BT447" s="7">
        <v>-0.8392</v>
      </c>
      <c r="BU447" s="2" t="s">
        <v>107</v>
      </c>
      <c r="BV447" s="2" t="s">
        <v>108</v>
      </c>
      <c r="BW447" s="2" t="s">
        <v>244</v>
      </c>
      <c r="BX447" s="2" t="s">
        <v>1606</v>
      </c>
      <c r="BY447" s="2" t="s">
        <v>111</v>
      </c>
    </row>
    <row r="448">
      <c r="A448" s="2" t="s">
        <v>1607</v>
      </c>
      <c r="B448" s="2" t="s">
        <v>86</v>
      </c>
      <c r="C448" s="2" t="s">
        <v>87</v>
      </c>
      <c r="D448" s="2" t="s">
        <v>88</v>
      </c>
      <c r="E448" s="2" t="s">
        <v>1597</v>
      </c>
      <c r="F448" s="2" t="s">
        <v>793</v>
      </c>
      <c r="G448" s="2" t="s">
        <v>794</v>
      </c>
      <c r="H448" s="2" t="s">
        <v>1598</v>
      </c>
      <c r="I448" s="2" t="s">
        <v>1599</v>
      </c>
      <c r="J448" s="2" t="s">
        <v>93</v>
      </c>
      <c r="K448" s="2" t="s">
        <v>312</v>
      </c>
      <c r="L448" s="3">
        <v>25.3</v>
      </c>
      <c r="M448" s="3">
        <v>26.56</v>
      </c>
      <c r="N448" s="3">
        <v>54.99</v>
      </c>
      <c r="O448" s="2" t="s">
        <v>95</v>
      </c>
      <c r="P448" s="2" t="s">
        <v>699</v>
      </c>
      <c r="Q448" s="2" t="s">
        <v>97</v>
      </c>
      <c r="R448" s="2" t="s">
        <v>98</v>
      </c>
      <c r="S448" s="2" t="s">
        <v>797</v>
      </c>
      <c r="T448" s="2" t="s">
        <v>98</v>
      </c>
      <c r="U448" s="2" t="s">
        <v>98</v>
      </c>
      <c r="V448" s="2" t="s">
        <v>798</v>
      </c>
      <c r="W448" s="2" t="s">
        <v>649</v>
      </c>
      <c r="X448" s="2" t="s">
        <v>372</v>
      </c>
      <c r="Y448" s="2" t="s">
        <v>104</v>
      </c>
      <c r="Z448" s="4">
        <v>61</v>
      </c>
      <c r="AA448" s="4">
        <f>=ROUNDDOWN(1.10909090909091,0)</f>
      </c>
      <c r="AB448" s="5">
        <v>55</v>
      </c>
      <c r="AC448" s="2" t="s">
        <v>253</v>
      </c>
      <c r="AD448" s="4">
        <v>292</v>
      </c>
      <c r="AE448" s="4">
        <v>1704</v>
      </c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16</v>
      </c>
      <c r="AQ448" s="8">
        <v>440</v>
      </c>
      <c r="AR448" s="4">
        <v>35</v>
      </c>
      <c r="AS448" s="8">
        <v>816.2</v>
      </c>
      <c r="AT448" s="7">
        <v>-0.5429</v>
      </c>
      <c r="AU448" s="7">
        <v>-0.4609</v>
      </c>
      <c r="AV448" s="4">
        <v>50</v>
      </c>
      <c r="AW448" s="8">
        <v>1612.5</v>
      </c>
      <c r="AX448" s="4">
        <v>110</v>
      </c>
      <c r="AY448" s="8">
        <v>2957.61</v>
      </c>
      <c r="AZ448" s="7">
        <v>-0.5455</v>
      </c>
      <c r="BA448" s="7">
        <v>-0.4548</v>
      </c>
      <c r="BB448" s="7">
        <v>0.2729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0.3022</v>
      </c>
      <c r="BJ448" s="4">
        <v>473</v>
      </c>
      <c r="BK448" s="8">
        <v>13096.79</v>
      </c>
      <c r="BL448" s="2" t="s">
        <v>1608</v>
      </c>
      <c r="BM448" s="7">
        <v>0.0338</v>
      </c>
      <c r="BN448" s="7">
        <v>0.0336</v>
      </c>
      <c r="BO448" s="4">
        <v>16</v>
      </c>
      <c r="BP448" s="8">
        <v>440</v>
      </c>
      <c r="BQ448" s="4">
        <v>35</v>
      </c>
      <c r="BR448" s="8">
        <v>816.2</v>
      </c>
      <c r="BS448" s="7">
        <v>-0.5429</v>
      </c>
      <c r="BT448" s="7">
        <v>-0.4609</v>
      </c>
      <c r="BU448" s="2" t="s">
        <v>107</v>
      </c>
      <c r="BV448" s="2" t="s">
        <v>108</v>
      </c>
      <c r="BW448" s="2" t="s">
        <v>109</v>
      </c>
      <c r="BX448" s="2" t="s">
        <v>370</v>
      </c>
      <c r="BY448" s="2" t="s">
        <v>111</v>
      </c>
    </row>
    <row r="449">
      <c r="A449" s="2" t="s">
        <v>1609</v>
      </c>
      <c r="B449" s="2" t="s">
        <v>86</v>
      </c>
      <c r="C449" s="2" t="s">
        <v>87</v>
      </c>
      <c r="D449" s="2" t="s">
        <v>88</v>
      </c>
      <c r="E449" s="2" t="s">
        <v>1597</v>
      </c>
      <c r="F449" s="2" t="s">
        <v>793</v>
      </c>
      <c r="G449" s="2" t="s">
        <v>794</v>
      </c>
      <c r="H449" s="2" t="s">
        <v>1598</v>
      </c>
      <c r="I449" s="2" t="s">
        <v>1599</v>
      </c>
      <c r="J449" s="2" t="s">
        <v>113</v>
      </c>
      <c r="K449" s="2" t="s">
        <v>312</v>
      </c>
      <c r="L449" s="3">
        <v>29.9</v>
      </c>
      <c r="M449" s="3">
        <v>31.4</v>
      </c>
      <c r="N449" s="3">
        <v>64.99</v>
      </c>
      <c r="O449" s="2" t="s">
        <v>95</v>
      </c>
      <c r="P449" s="2" t="s">
        <v>150</v>
      </c>
      <c r="Q449" s="2" t="s">
        <v>97</v>
      </c>
      <c r="R449" s="2" t="s">
        <v>98</v>
      </c>
      <c r="S449" s="2" t="s">
        <v>797</v>
      </c>
      <c r="T449" s="2" t="s">
        <v>98</v>
      </c>
      <c r="U449" s="2" t="s">
        <v>98</v>
      </c>
      <c r="V449" s="2" t="s">
        <v>798</v>
      </c>
      <c r="W449" s="2" t="s">
        <v>649</v>
      </c>
      <c r="X449" s="2" t="s">
        <v>372</v>
      </c>
      <c r="Y449" s="2" t="s">
        <v>104</v>
      </c>
      <c r="Z449" s="4">
        <v>330</v>
      </c>
      <c r="AA449" s="4">
        <f>=ROUNDDOWN(25.1908396946565,0)</f>
      </c>
      <c r="AB449" s="5">
        <v>13.1</v>
      </c>
      <c r="AC449" s="2" t="s">
        <v>250</v>
      </c>
      <c r="AD449" s="4">
        <v>260</v>
      </c>
      <c r="AE449" s="4">
        <v>380</v>
      </c>
      <c r="AF449" s="6">
        <v>66</v>
      </c>
      <c r="AG449" s="6"/>
      <c r="AH449" s="7">
        <v>0.7889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7</v>
      </c>
      <c r="AQ449" s="8">
        <v>227.5</v>
      </c>
      <c r="AR449" s="4">
        <v>16</v>
      </c>
      <c r="AS449" s="8">
        <v>428.64</v>
      </c>
      <c r="AT449" s="7">
        <v>-0.5625</v>
      </c>
      <c r="AU449" s="7">
        <v>-0.4693</v>
      </c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>
        <v>0.1411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>
        <v>121</v>
      </c>
      <c r="BK449" s="8">
        <v>3833.86</v>
      </c>
      <c r="BL449" s="2" t="s">
        <v>221</v>
      </c>
      <c r="BM449" s="7">
        <v>0.0579</v>
      </c>
      <c r="BN449" s="7">
        <v>0.0593</v>
      </c>
      <c r="BO449" s="4">
        <v>7</v>
      </c>
      <c r="BP449" s="8">
        <v>227.5</v>
      </c>
      <c r="BQ449" s="4">
        <v>16</v>
      </c>
      <c r="BR449" s="8">
        <v>428.64</v>
      </c>
      <c r="BS449" s="7">
        <v>-0.5625</v>
      </c>
      <c r="BT449" s="7">
        <v>-0.4693</v>
      </c>
      <c r="BU449" s="2" t="s">
        <v>107</v>
      </c>
      <c r="BV449" s="2" t="s">
        <v>108</v>
      </c>
      <c r="BW449" s="2" t="s">
        <v>109</v>
      </c>
      <c r="BX449" s="2" t="s">
        <v>1610</v>
      </c>
      <c r="BY449" s="2" t="s">
        <v>111</v>
      </c>
    </row>
    <row r="450">
      <c r="A450" s="2" t="s">
        <v>1611</v>
      </c>
      <c r="B450" s="2" t="s">
        <v>86</v>
      </c>
      <c r="C450" s="2" t="s">
        <v>87</v>
      </c>
      <c r="D450" s="2" t="s">
        <v>88</v>
      </c>
      <c r="E450" s="2" t="s">
        <v>1597</v>
      </c>
      <c r="F450" s="2" t="s">
        <v>793</v>
      </c>
      <c r="G450" s="2" t="s">
        <v>794</v>
      </c>
      <c r="H450" s="2" t="s">
        <v>1598</v>
      </c>
      <c r="I450" s="2" t="s">
        <v>1599</v>
      </c>
      <c r="J450" s="2" t="s">
        <v>118</v>
      </c>
      <c r="K450" s="2" t="s">
        <v>312</v>
      </c>
      <c r="L450" s="3">
        <v>31.5</v>
      </c>
      <c r="M450" s="3">
        <v>33.08</v>
      </c>
      <c r="N450" s="3">
        <v>69.99</v>
      </c>
      <c r="O450" s="2" t="s">
        <v>95</v>
      </c>
      <c r="P450" s="2" t="s">
        <v>150</v>
      </c>
      <c r="Q450" s="2" t="s">
        <v>97</v>
      </c>
      <c r="R450" s="2" t="s">
        <v>98</v>
      </c>
      <c r="S450" s="2" t="s">
        <v>797</v>
      </c>
      <c r="T450" s="2" t="s">
        <v>98</v>
      </c>
      <c r="U450" s="2" t="s">
        <v>98</v>
      </c>
      <c r="V450" s="2" t="s">
        <v>798</v>
      </c>
      <c r="W450" s="2" t="s">
        <v>649</v>
      </c>
      <c r="X450" s="2" t="s">
        <v>372</v>
      </c>
      <c r="Y450" s="2" t="s">
        <v>104</v>
      </c>
      <c r="Z450" s="4">
        <v>61</v>
      </c>
      <c r="AA450" s="4">
        <f>=ROUNDDOWN(4.69230769230769,0)</f>
      </c>
      <c r="AB450" s="5">
        <v>13</v>
      </c>
      <c r="AC450" s="2" t="s">
        <v>253</v>
      </c>
      <c r="AD450" s="4">
        <v>160</v>
      </c>
      <c r="AE450" s="4">
        <v>368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27</v>
      </c>
      <c r="AQ450" s="8">
        <v>945</v>
      </c>
      <c r="AR450" s="4">
        <v>59</v>
      </c>
      <c r="AS450" s="8">
        <v>1712.77</v>
      </c>
      <c r="AT450" s="7">
        <v>-0.5424</v>
      </c>
      <c r="AU450" s="7">
        <v>-0.4483</v>
      </c>
      <c r="AV450" s="4" t="s">
        <v>98</v>
      </c>
      <c r="AW450" s="8" t="s">
        <v>98</v>
      </c>
      <c r="AX450" s="4" t="s">
        <v>98</v>
      </c>
      <c r="AY450" s="8" t="s">
        <v>98</v>
      </c>
      <c r="AZ450" s="7" t="s">
        <v>98</v>
      </c>
      <c r="BA450" s="7" t="s">
        <v>98</v>
      </c>
      <c r="BB450" s="7">
        <v>0.586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 t="s">
        <v>98</v>
      </c>
      <c r="BJ450" s="4">
        <v>123</v>
      </c>
      <c r="BK450" s="8">
        <v>4205.02</v>
      </c>
      <c r="BL450" s="2" t="s">
        <v>1612</v>
      </c>
      <c r="BM450" s="7">
        <v>0.2195</v>
      </c>
      <c r="BN450" s="7">
        <v>0.2247</v>
      </c>
      <c r="BO450" s="4">
        <v>27</v>
      </c>
      <c r="BP450" s="8">
        <v>945</v>
      </c>
      <c r="BQ450" s="4">
        <v>59</v>
      </c>
      <c r="BR450" s="8">
        <v>1712.77</v>
      </c>
      <c r="BS450" s="7">
        <v>-0.5424</v>
      </c>
      <c r="BT450" s="7">
        <v>-0.4483</v>
      </c>
      <c r="BU450" s="2" t="s">
        <v>107</v>
      </c>
      <c r="BV450" s="2" t="s">
        <v>108</v>
      </c>
      <c r="BW450" s="2" t="s">
        <v>109</v>
      </c>
      <c r="BX450" s="2" t="s">
        <v>245</v>
      </c>
      <c r="BY450" s="2" t="s">
        <v>111</v>
      </c>
    </row>
    <row r="451">
      <c r="A451" s="2" t="s">
        <v>1613</v>
      </c>
      <c r="B451" s="2" t="s">
        <v>86</v>
      </c>
      <c r="C451" s="2" t="s">
        <v>87</v>
      </c>
      <c r="D451" s="2" t="s">
        <v>88</v>
      </c>
      <c r="E451" s="2" t="s">
        <v>1597</v>
      </c>
      <c r="F451" s="2" t="s">
        <v>793</v>
      </c>
      <c r="G451" s="2" t="s">
        <v>794</v>
      </c>
      <c r="H451" s="2" t="s">
        <v>1598</v>
      </c>
      <c r="I451" s="2" t="s">
        <v>1599</v>
      </c>
      <c r="J451" s="2" t="s">
        <v>93</v>
      </c>
      <c r="K451" s="2" t="s">
        <v>1614</v>
      </c>
      <c r="L451" s="3">
        <v>25.3</v>
      </c>
      <c r="M451" s="3">
        <v>26.56</v>
      </c>
      <c r="N451" s="3">
        <v>54.99</v>
      </c>
      <c r="O451" s="2" t="s">
        <v>95</v>
      </c>
      <c r="P451" s="2" t="s">
        <v>129</v>
      </c>
      <c r="Q451" s="2" t="s">
        <v>97</v>
      </c>
      <c r="R451" s="2" t="s">
        <v>98</v>
      </c>
      <c r="S451" s="2" t="s">
        <v>1615</v>
      </c>
      <c r="T451" s="2" t="s">
        <v>98</v>
      </c>
      <c r="U451" s="2" t="s">
        <v>98</v>
      </c>
      <c r="V451" s="2" t="s">
        <v>798</v>
      </c>
      <c r="W451" s="2" t="s">
        <v>649</v>
      </c>
      <c r="X451" s="2" t="s">
        <v>372</v>
      </c>
      <c r="Y451" s="2" t="s">
        <v>104</v>
      </c>
      <c r="Z451" s="4"/>
      <c r="AA451" s="4">
        <f>=ROUNDDOWN({0},0)</f>
      </c>
      <c r="AB451" s="5">
        <v>38</v>
      </c>
      <c r="AC451" s="2" t="s">
        <v>253</v>
      </c>
      <c r="AD451" s="4">
        <v>612</v>
      </c>
      <c r="AE451" s="4">
        <v>1428</v>
      </c>
      <c r="AF451" s="6">
        <v>66</v>
      </c>
      <c r="AG451" s="6"/>
      <c r="AH451" s="7">
        <v>0.7556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17</v>
      </c>
      <c r="AQ451" s="8">
        <v>467.5</v>
      </c>
      <c r="AR451" s="4">
        <v>170</v>
      </c>
      <c r="AS451" s="8">
        <v>3964.4</v>
      </c>
      <c r="AT451" s="7">
        <v>-0.9</v>
      </c>
      <c r="AU451" s="7">
        <v>-0.8821</v>
      </c>
      <c r="AV451" s="4">
        <v>38</v>
      </c>
      <c r="AW451" s="8">
        <v>1162.5</v>
      </c>
      <c r="AX451" s="4">
        <v>288</v>
      </c>
      <c r="AY451" s="8">
        <v>7212.98</v>
      </c>
      <c r="AZ451" s="7">
        <v>-0.8681</v>
      </c>
      <c r="BA451" s="7">
        <v>-0.8388</v>
      </c>
      <c r="BB451" s="7">
        <v>0.4022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0.2179</v>
      </c>
      <c r="BJ451" s="4">
        <v>352</v>
      </c>
      <c r="BK451" s="8">
        <v>9749.02</v>
      </c>
      <c r="BL451" s="2" t="s">
        <v>1616</v>
      </c>
      <c r="BM451" s="7">
        <v>0.0483</v>
      </c>
      <c r="BN451" s="7">
        <v>0.048</v>
      </c>
      <c r="BO451" s="4">
        <v>17</v>
      </c>
      <c r="BP451" s="8">
        <v>467.5</v>
      </c>
      <c r="BQ451" s="4">
        <v>170</v>
      </c>
      <c r="BR451" s="8">
        <v>3964.4</v>
      </c>
      <c r="BS451" s="7">
        <v>-0.9</v>
      </c>
      <c r="BT451" s="7">
        <v>-0.8821</v>
      </c>
      <c r="BU451" s="2" t="s">
        <v>107</v>
      </c>
      <c r="BV451" s="2" t="s">
        <v>108</v>
      </c>
      <c r="BW451" s="2" t="s">
        <v>109</v>
      </c>
      <c r="BX451" s="2" t="s">
        <v>410</v>
      </c>
      <c r="BY451" s="2" t="s">
        <v>111</v>
      </c>
    </row>
    <row r="452">
      <c r="A452" s="2" t="s">
        <v>1617</v>
      </c>
      <c r="B452" s="2" t="s">
        <v>86</v>
      </c>
      <c r="C452" s="2" t="s">
        <v>87</v>
      </c>
      <c r="D452" s="2" t="s">
        <v>88</v>
      </c>
      <c r="E452" s="2" t="s">
        <v>1597</v>
      </c>
      <c r="F452" s="2" t="s">
        <v>793</v>
      </c>
      <c r="G452" s="2" t="s">
        <v>794</v>
      </c>
      <c r="H452" s="2" t="s">
        <v>1598</v>
      </c>
      <c r="I452" s="2" t="s">
        <v>1599</v>
      </c>
      <c r="J452" s="2" t="s">
        <v>113</v>
      </c>
      <c r="K452" s="2" t="s">
        <v>1614</v>
      </c>
      <c r="L452" s="3">
        <v>29.9</v>
      </c>
      <c r="M452" s="3">
        <v>31.4</v>
      </c>
      <c r="N452" s="3">
        <v>64.99</v>
      </c>
      <c r="O452" s="2" t="s">
        <v>95</v>
      </c>
      <c r="P452" s="2" t="s">
        <v>150</v>
      </c>
      <c r="Q452" s="2" t="s">
        <v>97</v>
      </c>
      <c r="R452" s="2" t="s">
        <v>98</v>
      </c>
      <c r="S452" s="2" t="s">
        <v>1615</v>
      </c>
      <c r="T452" s="2" t="s">
        <v>98</v>
      </c>
      <c r="U452" s="2" t="s">
        <v>98</v>
      </c>
      <c r="V452" s="2" t="s">
        <v>798</v>
      </c>
      <c r="W452" s="2" t="s">
        <v>649</v>
      </c>
      <c r="X452" s="2" t="s">
        <v>372</v>
      </c>
      <c r="Y452" s="2" t="s">
        <v>104</v>
      </c>
      <c r="Z452" s="4">
        <v>117</v>
      </c>
      <c r="AA452" s="4">
        <f>=ROUNDDOWN(13,0)</f>
      </c>
      <c r="AB452" s="5">
        <v>9</v>
      </c>
      <c r="AC452" s="2" t="s">
        <v>253</v>
      </c>
      <c r="AD452" s="4">
        <v>52</v>
      </c>
      <c r="AE452" s="4">
        <v>200</v>
      </c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16</v>
      </c>
      <c r="AQ452" s="8">
        <v>520</v>
      </c>
      <c r="AR452" s="4">
        <v>79</v>
      </c>
      <c r="AS452" s="8">
        <v>2116.41</v>
      </c>
      <c r="AT452" s="7">
        <v>-0.7975</v>
      </c>
      <c r="AU452" s="7">
        <v>-0.7543</v>
      </c>
      <c r="AV452" s="4" t="s">
        <v>98</v>
      </c>
      <c r="AW452" s="8" t="s">
        <v>98</v>
      </c>
      <c r="AX452" s="4" t="s">
        <v>98</v>
      </c>
      <c r="AY452" s="8" t="s">
        <v>98</v>
      </c>
      <c r="AZ452" s="7" t="s">
        <v>98</v>
      </c>
      <c r="BA452" s="7" t="s">
        <v>98</v>
      </c>
      <c r="BB452" s="7">
        <v>0.4473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 t="s">
        <v>98</v>
      </c>
      <c r="BJ452" s="4">
        <v>133</v>
      </c>
      <c r="BK452" s="8">
        <v>4259.73</v>
      </c>
      <c r="BL452" s="2" t="s">
        <v>1341</v>
      </c>
      <c r="BM452" s="7">
        <v>0.1203</v>
      </c>
      <c r="BN452" s="7">
        <v>0.1221</v>
      </c>
      <c r="BO452" s="4">
        <v>16</v>
      </c>
      <c r="BP452" s="8">
        <v>520</v>
      </c>
      <c r="BQ452" s="4">
        <v>79</v>
      </c>
      <c r="BR452" s="8">
        <v>2116.41</v>
      </c>
      <c r="BS452" s="7">
        <v>-0.7975</v>
      </c>
      <c r="BT452" s="7">
        <v>-0.7543</v>
      </c>
      <c r="BU452" s="2" t="s">
        <v>107</v>
      </c>
      <c r="BV452" s="2" t="s">
        <v>108</v>
      </c>
      <c r="BW452" s="2" t="s">
        <v>109</v>
      </c>
      <c r="BX452" s="2" t="s">
        <v>396</v>
      </c>
      <c r="BY452" s="2" t="s">
        <v>111</v>
      </c>
    </row>
    <row r="453">
      <c r="A453" s="2" t="s">
        <v>1618</v>
      </c>
      <c r="B453" s="2" t="s">
        <v>86</v>
      </c>
      <c r="C453" s="2" t="s">
        <v>87</v>
      </c>
      <c r="D453" s="2" t="s">
        <v>88</v>
      </c>
      <c r="E453" s="2" t="s">
        <v>1597</v>
      </c>
      <c r="F453" s="2" t="s">
        <v>793</v>
      </c>
      <c r="G453" s="2" t="s">
        <v>794</v>
      </c>
      <c r="H453" s="2" t="s">
        <v>1598</v>
      </c>
      <c r="I453" s="2" t="s">
        <v>1599</v>
      </c>
      <c r="J453" s="2" t="s">
        <v>118</v>
      </c>
      <c r="K453" s="2" t="s">
        <v>1614</v>
      </c>
      <c r="L453" s="3">
        <v>31.5</v>
      </c>
      <c r="M453" s="3">
        <v>33.08</v>
      </c>
      <c r="N453" s="3">
        <v>69.99</v>
      </c>
      <c r="O453" s="2" t="s">
        <v>95</v>
      </c>
      <c r="P453" s="2" t="s">
        <v>220</v>
      </c>
      <c r="Q453" s="2" t="s">
        <v>97</v>
      </c>
      <c r="R453" s="2" t="s">
        <v>98</v>
      </c>
      <c r="S453" s="2" t="s">
        <v>1615</v>
      </c>
      <c r="T453" s="2" t="s">
        <v>98</v>
      </c>
      <c r="U453" s="2" t="s">
        <v>98</v>
      </c>
      <c r="V453" s="2" t="s">
        <v>798</v>
      </c>
      <c r="W453" s="2" t="s">
        <v>649</v>
      </c>
      <c r="X453" s="2" t="s">
        <v>372</v>
      </c>
      <c r="Y453" s="2" t="s">
        <v>104</v>
      </c>
      <c r="Z453" s="4">
        <v>80</v>
      </c>
      <c r="AA453" s="4">
        <f>=ROUNDDOWN(16,0)</f>
      </c>
      <c r="AB453" s="5">
        <v>5</v>
      </c>
      <c r="AC453" s="2" t="s">
        <v>253</v>
      </c>
      <c r="AD453" s="4">
        <v>60</v>
      </c>
      <c r="AE453" s="4">
        <v>60</v>
      </c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5</v>
      </c>
      <c r="AQ453" s="8">
        <v>175</v>
      </c>
      <c r="AR453" s="4">
        <v>39</v>
      </c>
      <c r="AS453" s="8">
        <v>1132.17</v>
      </c>
      <c r="AT453" s="7">
        <v>-0.8718</v>
      </c>
      <c r="AU453" s="7">
        <v>-0.8454</v>
      </c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0.1505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50</v>
      </c>
      <c r="BK453" s="8">
        <v>1715.96</v>
      </c>
      <c r="BL453" s="2" t="s">
        <v>1619</v>
      </c>
      <c r="BM453" s="7">
        <v>0.1</v>
      </c>
      <c r="BN453" s="7">
        <v>0.102</v>
      </c>
      <c r="BO453" s="4">
        <v>5</v>
      </c>
      <c r="BP453" s="8">
        <v>175</v>
      </c>
      <c r="BQ453" s="4">
        <v>39</v>
      </c>
      <c r="BR453" s="8">
        <v>1132.17</v>
      </c>
      <c r="BS453" s="7">
        <v>-0.8718</v>
      </c>
      <c r="BT453" s="7">
        <v>-0.8454</v>
      </c>
      <c r="BU453" s="2" t="s">
        <v>107</v>
      </c>
      <c r="BV453" s="2" t="s">
        <v>108</v>
      </c>
      <c r="BW453" s="2" t="s">
        <v>109</v>
      </c>
      <c r="BX453" s="2" t="s">
        <v>1620</v>
      </c>
      <c r="BY453" s="2" t="s">
        <v>111</v>
      </c>
    </row>
    <row r="454">
      <c r="A454" s="2" t="s">
        <v>1621</v>
      </c>
      <c r="B454" s="2" t="s">
        <v>86</v>
      </c>
      <c r="C454" s="2" t="s">
        <v>87</v>
      </c>
      <c r="D454" s="2" t="s">
        <v>88</v>
      </c>
      <c r="E454" s="2" t="s">
        <v>1597</v>
      </c>
      <c r="F454" s="2" t="s">
        <v>793</v>
      </c>
      <c r="G454" s="2" t="s">
        <v>794</v>
      </c>
      <c r="H454" s="2" t="s">
        <v>1598</v>
      </c>
      <c r="I454" s="2" t="s">
        <v>1599</v>
      </c>
      <c r="J454" s="2" t="s">
        <v>93</v>
      </c>
      <c r="K454" s="2" t="s">
        <v>760</v>
      </c>
      <c r="L454" s="3">
        <v>25.3</v>
      </c>
      <c r="M454" s="3">
        <v>26.56</v>
      </c>
      <c r="N454" s="3">
        <v>54.99</v>
      </c>
      <c r="O454" s="2" t="s">
        <v>95</v>
      </c>
      <c r="P454" s="2" t="s">
        <v>129</v>
      </c>
      <c r="Q454" s="2" t="s">
        <v>97</v>
      </c>
      <c r="R454" s="2" t="s">
        <v>98</v>
      </c>
      <c r="S454" s="2" t="s">
        <v>804</v>
      </c>
      <c r="T454" s="2" t="s">
        <v>98</v>
      </c>
      <c r="U454" s="2" t="s">
        <v>98</v>
      </c>
      <c r="V454" s="2" t="s">
        <v>798</v>
      </c>
      <c r="W454" s="2" t="s">
        <v>649</v>
      </c>
      <c r="X454" s="2" t="s">
        <v>372</v>
      </c>
      <c r="Y454" s="2" t="s">
        <v>104</v>
      </c>
      <c r="Z454" s="4">
        <v>412</v>
      </c>
      <c r="AA454" s="4">
        <f>=ROUNDDOWN(11.4444444444444,0)</f>
      </c>
      <c r="AB454" s="5">
        <v>36</v>
      </c>
      <c r="AC454" s="2" t="s">
        <v>250</v>
      </c>
      <c r="AD454" s="4">
        <v>364</v>
      </c>
      <c r="AE454" s="4">
        <v>1320</v>
      </c>
      <c r="AF454" s="6">
        <v>66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8</v>
      </c>
      <c r="AQ454" s="8">
        <v>220</v>
      </c>
      <c r="AR454" s="4">
        <v>153</v>
      </c>
      <c r="AS454" s="8">
        <v>3567.96</v>
      </c>
      <c r="AT454" s="7">
        <v>-0.9477</v>
      </c>
      <c r="AU454" s="7">
        <v>-0.9383</v>
      </c>
      <c r="AV454" s="4">
        <v>29</v>
      </c>
      <c r="AW454" s="8">
        <v>920</v>
      </c>
      <c r="AX454" s="4">
        <v>250</v>
      </c>
      <c r="AY454" s="8">
        <v>6289.79</v>
      </c>
      <c r="AZ454" s="7">
        <v>-0.884</v>
      </c>
      <c r="BA454" s="7">
        <v>-0.8537</v>
      </c>
      <c r="BB454" s="7">
        <v>0.2391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0.1724</v>
      </c>
      <c r="BJ454" s="4">
        <v>269</v>
      </c>
      <c r="BK454" s="8">
        <v>7271.09</v>
      </c>
      <c r="BL454" s="2" t="s">
        <v>1622</v>
      </c>
      <c r="BM454" s="7">
        <v>0.0297</v>
      </c>
      <c r="BN454" s="7">
        <v>0.0303</v>
      </c>
      <c r="BO454" s="4">
        <v>8</v>
      </c>
      <c r="BP454" s="8">
        <v>220</v>
      </c>
      <c r="BQ454" s="4">
        <v>153</v>
      </c>
      <c r="BR454" s="8">
        <v>3567.96</v>
      </c>
      <c r="BS454" s="7">
        <v>-0.9477</v>
      </c>
      <c r="BT454" s="7">
        <v>-0.9383</v>
      </c>
      <c r="BU454" s="2" t="s">
        <v>107</v>
      </c>
      <c r="BV454" s="2" t="s">
        <v>108</v>
      </c>
      <c r="BW454" s="2" t="s">
        <v>109</v>
      </c>
      <c r="BX454" s="2" t="s">
        <v>1623</v>
      </c>
      <c r="BY454" s="2" t="s">
        <v>111</v>
      </c>
    </row>
    <row r="455">
      <c r="A455" s="2" t="s">
        <v>1624</v>
      </c>
      <c r="B455" s="2" t="s">
        <v>86</v>
      </c>
      <c r="C455" s="2" t="s">
        <v>87</v>
      </c>
      <c r="D455" s="2" t="s">
        <v>88</v>
      </c>
      <c r="E455" s="2" t="s">
        <v>1597</v>
      </c>
      <c r="F455" s="2" t="s">
        <v>793</v>
      </c>
      <c r="G455" s="2" t="s">
        <v>794</v>
      </c>
      <c r="H455" s="2" t="s">
        <v>1598</v>
      </c>
      <c r="I455" s="2" t="s">
        <v>1599</v>
      </c>
      <c r="J455" s="2" t="s">
        <v>113</v>
      </c>
      <c r="K455" s="2" t="s">
        <v>760</v>
      </c>
      <c r="L455" s="3">
        <v>29.9</v>
      </c>
      <c r="M455" s="3">
        <v>31.4</v>
      </c>
      <c r="N455" s="3">
        <v>64.99</v>
      </c>
      <c r="O455" s="2" t="s">
        <v>95</v>
      </c>
      <c r="P455" s="2" t="s">
        <v>129</v>
      </c>
      <c r="Q455" s="2" t="s">
        <v>97</v>
      </c>
      <c r="R455" s="2" t="s">
        <v>98</v>
      </c>
      <c r="S455" s="2" t="s">
        <v>804</v>
      </c>
      <c r="T455" s="2" t="s">
        <v>98</v>
      </c>
      <c r="U455" s="2" t="s">
        <v>98</v>
      </c>
      <c r="V455" s="2" t="s">
        <v>798</v>
      </c>
      <c r="W455" s="2" t="s">
        <v>649</v>
      </c>
      <c r="X455" s="2" t="s">
        <v>372</v>
      </c>
      <c r="Y455" s="2" t="s">
        <v>104</v>
      </c>
      <c r="Z455" s="4">
        <v>38</v>
      </c>
      <c r="AA455" s="4">
        <f>=ROUNDDOWN(3.16666666666667,0)</f>
      </c>
      <c r="AB455" s="5">
        <v>12</v>
      </c>
      <c r="AC455" s="2" t="s">
        <v>250</v>
      </c>
      <c r="AD455" s="4">
        <v>40</v>
      </c>
      <c r="AE455" s="4">
        <v>496</v>
      </c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14</v>
      </c>
      <c r="AQ455" s="8">
        <v>455</v>
      </c>
      <c r="AR455" s="4">
        <v>42</v>
      </c>
      <c r="AS455" s="8">
        <v>1125.18</v>
      </c>
      <c r="AT455" s="7">
        <v>-0.6667</v>
      </c>
      <c r="AU455" s="7">
        <v>-0.5956</v>
      </c>
      <c r="AV455" s="4" t="s">
        <v>98</v>
      </c>
      <c r="AW455" s="8" t="s">
        <v>98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>
        <v>0.4946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 t="s">
        <v>98</v>
      </c>
      <c r="BJ455" s="4">
        <v>91</v>
      </c>
      <c r="BK455" s="8">
        <v>2854.54</v>
      </c>
      <c r="BL455" s="2" t="s">
        <v>1625</v>
      </c>
      <c r="BM455" s="7">
        <v>0.1538</v>
      </c>
      <c r="BN455" s="7">
        <v>0.1594</v>
      </c>
      <c r="BO455" s="4">
        <v>14</v>
      </c>
      <c r="BP455" s="8">
        <v>455</v>
      </c>
      <c r="BQ455" s="4">
        <v>42</v>
      </c>
      <c r="BR455" s="8">
        <v>1125.18</v>
      </c>
      <c r="BS455" s="7">
        <v>-0.6667</v>
      </c>
      <c r="BT455" s="7">
        <v>-0.5956</v>
      </c>
      <c r="BU455" s="2" t="s">
        <v>107</v>
      </c>
      <c r="BV455" s="2" t="s">
        <v>108</v>
      </c>
      <c r="BW455" s="2" t="s">
        <v>109</v>
      </c>
      <c r="BX455" s="2" t="s">
        <v>396</v>
      </c>
      <c r="BY455" s="2" t="s">
        <v>111</v>
      </c>
    </row>
    <row r="456">
      <c r="A456" s="2" t="s">
        <v>1626</v>
      </c>
      <c r="B456" s="2" t="s">
        <v>86</v>
      </c>
      <c r="C456" s="2" t="s">
        <v>87</v>
      </c>
      <c r="D456" s="2" t="s">
        <v>88</v>
      </c>
      <c r="E456" s="2" t="s">
        <v>1597</v>
      </c>
      <c r="F456" s="2" t="s">
        <v>793</v>
      </c>
      <c r="G456" s="2" t="s">
        <v>794</v>
      </c>
      <c r="H456" s="2" t="s">
        <v>1598</v>
      </c>
      <c r="I456" s="2" t="s">
        <v>1599</v>
      </c>
      <c r="J456" s="2" t="s">
        <v>118</v>
      </c>
      <c r="K456" s="2" t="s">
        <v>760</v>
      </c>
      <c r="L456" s="3">
        <v>31.5</v>
      </c>
      <c r="M456" s="3">
        <v>33.08</v>
      </c>
      <c r="N456" s="3">
        <v>69.99</v>
      </c>
      <c r="O456" s="2" t="s">
        <v>95</v>
      </c>
      <c r="P456" s="2" t="s">
        <v>129</v>
      </c>
      <c r="Q456" s="2" t="s">
        <v>97</v>
      </c>
      <c r="R456" s="2" t="s">
        <v>98</v>
      </c>
      <c r="S456" s="2" t="s">
        <v>804</v>
      </c>
      <c r="T456" s="2" t="s">
        <v>98</v>
      </c>
      <c r="U456" s="2" t="s">
        <v>98</v>
      </c>
      <c r="V456" s="2" t="s">
        <v>798</v>
      </c>
      <c r="W456" s="2" t="s">
        <v>649</v>
      </c>
      <c r="X456" s="2" t="s">
        <v>372</v>
      </c>
      <c r="Y456" s="2" t="s">
        <v>104</v>
      </c>
      <c r="Z456" s="4">
        <v>40</v>
      </c>
      <c r="AA456" s="4">
        <f>=ROUNDDOWN(5,0)</f>
      </c>
      <c r="AB456" s="5">
        <v>8</v>
      </c>
      <c r="AC456" s="2" t="s">
        <v>250</v>
      </c>
      <c r="AD456" s="4">
        <v>40</v>
      </c>
      <c r="AE456" s="4">
        <v>296</v>
      </c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7</v>
      </c>
      <c r="AQ456" s="8">
        <v>245</v>
      </c>
      <c r="AR456" s="4">
        <v>55</v>
      </c>
      <c r="AS456" s="8">
        <v>1596.65</v>
      </c>
      <c r="AT456" s="7">
        <v>-0.8727</v>
      </c>
      <c r="AU456" s="7">
        <v>-0.8466</v>
      </c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>
        <v>0.2663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 t="s">
        <v>98</v>
      </c>
      <c r="BJ456" s="4">
        <v>52</v>
      </c>
      <c r="BK456" s="8">
        <v>1767.44</v>
      </c>
      <c r="BL456" s="2" t="s">
        <v>1627</v>
      </c>
      <c r="BM456" s="7">
        <v>0.1346</v>
      </c>
      <c r="BN456" s="7">
        <v>0.1386</v>
      </c>
      <c r="BO456" s="4">
        <v>7</v>
      </c>
      <c r="BP456" s="8">
        <v>245</v>
      </c>
      <c r="BQ456" s="4">
        <v>55</v>
      </c>
      <c r="BR456" s="8">
        <v>1596.65</v>
      </c>
      <c r="BS456" s="7">
        <v>-0.8727</v>
      </c>
      <c r="BT456" s="7">
        <v>-0.8466</v>
      </c>
      <c r="BU456" s="2" t="s">
        <v>107</v>
      </c>
      <c r="BV456" s="2" t="s">
        <v>108</v>
      </c>
      <c r="BW456" s="2" t="s">
        <v>109</v>
      </c>
      <c r="BX456" s="2" t="s">
        <v>422</v>
      </c>
      <c r="BY456" s="2" t="s">
        <v>111</v>
      </c>
    </row>
    <row r="457">
      <c r="A457" s="2" t="s">
        <v>1628</v>
      </c>
      <c r="B457" s="2" t="s">
        <v>86</v>
      </c>
      <c r="C457" s="2" t="s">
        <v>87</v>
      </c>
      <c r="D457" s="2" t="s">
        <v>88</v>
      </c>
      <c r="E457" s="2" t="s">
        <v>1597</v>
      </c>
      <c r="F457" s="2" t="s">
        <v>872</v>
      </c>
      <c r="G457" s="2" t="s">
        <v>873</v>
      </c>
      <c r="H457" s="2" t="s">
        <v>874</v>
      </c>
      <c r="I457" s="2" t="s">
        <v>1629</v>
      </c>
      <c r="J457" s="2" t="s">
        <v>1630</v>
      </c>
      <c r="K457" s="2" t="s">
        <v>464</v>
      </c>
      <c r="L457" s="3">
        <v>19</v>
      </c>
      <c r="M457" s="3">
        <v>19.95</v>
      </c>
      <c r="N457" s="3">
        <v>39.99</v>
      </c>
      <c r="O457" s="2" t="s">
        <v>95</v>
      </c>
      <c r="P457" s="2" t="s">
        <v>150</v>
      </c>
      <c r="Q457" s="2" t="s">
        <v>97</v>
      </c>
      <c r="R457" s="2" t="s">
        <v>98</v>
      </c>
      <c r="S457" s="2" t="s">
        <v>975</v>
      </c>
      <c r="T457" s="2" t="s">
        <v>98</v>
      </c>
      <c r="U457" s="2" t="s">
        <v>1494</v>
      </c>
      <c r="V457" s="2" t="s">
        <v>101</v>
      </c>
      <c r="W457" s="2" t="s">
        <v>567</v>
      </c>
      <c r="X457" s="2" t="s">
        <v>103</v>
      </c>
      <c r="Y457" s="2" t="s">
        <v>1089</v>
      </c>
      <c r="Z457" s="4">
        <v>330</v>
      </c>
      <c r="AA457" s="4">
        <f>=ROUNDDOWN(55,0)</f>
      </c>
      <c r="AB457" s="5">
        <v>6</v>
      </c>
      <c r="AC457" s="2" t="s">
        <v>98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51</v>
      </c>
      <c r="AQ457" s="8">
        <v>1068.45</v>
      </c>
      <c r="AR457" s="4"/>
      <c r="AS457" s="8"/>
      <c r="AT457" s="7"/>
      <c r="AU457" s="7"/>
      <c r="AV457" s="4">
        <v>51</v>
      </c>
      <c r="AW457" s="8">
        <v>1068.45</v>
      </c>
      <c r="AX457" s="4"/>
      <c r="AY457" s="8"/>
      <c r="AZ457" s="7"/>
      <c r="BA457" s="7"/>
      <c r="BB457" s="7">
        <v>1</v>
      </c>
      <c r="BC457" s="4">
        <v>141</v>
      </c>
      <c r="BD457" s="8">
        <v>2953.95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0.3617</v>
      </c>
      <c r="BJ457" s="4">
        <v>125</v>
      </c>
      <c r="BK457" s="8">
        <v>2652.66</v>
      </c>
      <c r="BL457" s="2" t="s">
        <v>1631</v>
      </c>
      <c r="BM457" s="7">
        <v>0.408</v>
      </c>
      <c r="BN457" s="7">
        <v>0.4028</v>
      </c>
      <c r="BO457" s="4">
        <v>51</v>
      </c>
      <c r="BP457" s="8">
        <v>1068.45</v>
      </c>
      <c r="BQ457" s="4"/>
      <c r="BR457" s="8"/>
      <c r="BS457" s="7"/>
      <c r="BT457" s="7"/>
      <c r="BU457" s="2" t="s">
        <v>107</v>
      </c>
      <c r="BV457" s="2" t="s">
        <v>108</v>
      </c>
      <c r="BW457" s="2" t="s">
        <v>1258</v>
      </c>
      <c r="BX457" s="2" t="s">
        <v>856</v>
      </c>
      <c r="BY457" s="2" t="s">
        <v>111</v>
      </c>
    </row>
    <row r="458">
      <c r="A458" s="2" t="s">
        <v>1632</v>
      </c>
      <c r="B458" s="2" t="s">
        <v>86</v>
      </c>
      <c r="C458" s="2" t="s">
        <v>87</v>
      </c>
      <c r="D458" s="2" t="s">
        <v>88</v>
      </c>
      <c r="E458" s="2" t="s">
        <v>1597</v>
      </c>
      <c r="F458" s="2" t="s">
        <v>872</v>
      </c>
      <c r="G458" s="2" t="s">
        <v>873</v>
      </c>
      <c r="H458" s="2" t="s">
        <v>874</v>
      </c>
      <c r="I458" s="2" t="s">
        <v>1629</v>
      </c>
      <c r="J458" s="2" t="s">
        <v>1630</v>
      </c>
      <c r="K458" s="2" t="s">
        <v>94</v>
      </c>
      <c r="L458" s="3">
        <v>19</v>
      </c>
      <c r="M458" s="3">
        <v>19.95</v>
      </c>
      <c r="N458" s="3">
        <v>39.99</v>
      </c>
      <c r="O458" s="2" t="s">
        <v>95</v>
      </c>
      <c r="P458" s="2" t="s">
        <v>150</v>
      </c>
      <c r="Q458" s="2" t="s">
        <v>97</v>
      </c>
      <c r="R458" s="2" t="s">
        <v>98</v>
      </c>
      <c r="S458" s="2" t="s">
        <v>945</v>
      </c>
      <c r="T458" s="2" t="s">
        <v>98</v>
      </c>
      <c r="U458" s="2" t="s">
        <v>1494</v>
      </c>
      <c r="V458" s="2" t="s">
        <v>101</v>
      </c>
      <c r="W458" s="2" t="s">
        <v>567</v>
      </c>
      <c r="X458" s="2" t="s">
        <v>103</v>
      </c>
      <c r="Y458" s="2" t="s">
        <v>1633</v>
      </c>
      <c r="Z458" s="4">
        <v>177</v>
      </c>
      <c r="AA458" s="4">
        <f>=ROUNDDOWN(19.6666666666667,0)</f>
      </c>
      <c r="AB458" s="5">
        <v>9</v>
      </c>
      <c r="AC458" s="2" t="s">
        <v>114</v>
      </c>
      <c r="AD458" s="4">
        <v>32</v>
      </c>
      <c r="AE458" s="4">
        <v>152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31</v>
      </c>
      <c r="AQ458" s="8">
        <v>649.45</v>
      </c>
      <c r="AR458" s="4"/>
      <c r="AS458" s="8"/>
      <c r="AT458" s="7"/>
      <c r="AU458" s="7"/>
      <c r="AV458" s="4">
        <v>31</v>
      </c>
      <c r="AW458" s="8">
        <v>649.45</v>
      </c>
      <c r="AX458" s="4"/>
      <c r="AY458" s="8"/>
      <c r="AZ458" s="7"/>
      <c r="BA458" s="7"/>
      <c r="BB458" s="7">
        <v>1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0.2199</v>
      </c>
      <c r="BJ458" s="4">
        <v>49</v>
      </c>
      <c r="BK458" s="8">
        <v>1023.54</v>
      </c>
      <c r="BL458" s="2" t="s">
        <v>1579</v>
      </c>
      <c r="BM458" s="7">
        <v>0.6327</v>
      </c>
      <c r="BN458" s="7">
        <v>0.6345</v>
      </c>
      <c r="BO458" s="4">
        <v>31</v>
      </c>
      <c r="BP458" s="8">
        <v>649.45</v>
      </c>
      <c r="BQ458" s="4"/>
      <c r="BR458" s="8"/>
      <c r="BS458" s="7"/>
      <c r="BT458" s="7"/>
      <c r="BU458" s="2" t="s">
        <v>107</v>
      </c>
      <c r="BV458" s="2" t="s">
        <v>108</v>
      </c>
      <c r="BW458" s="2" t="s">
        <v>1258</v>
      </c>
      <c r="BX458" s="2" t="s">
        <v>1572</v>
      </c>
      <c r="BY458" s="2" t="s">
        <v>111</v>
      </c>
    </row>
    <row r="459">
      <c r="A459" s="2" t="s">
        <v>1634</v>
      </c>
      <c r="B459" s="2" t="s">
        <v>86</v>
      </c>
      <c r="C459" s="2" t="s">
        <v>87</v>
      </c>
      <c r="D459" s="2" t="s">
        <v>88</v>
      </c>
      <c r="E459" s="2" t="s">
        <v>1597</v>
      </c>
      <c r="F459" s="2" t="s">
        <v>872</v>
      </c>
      <c r="G459" s="2" t="s">
        <v>873</v>
      </c>
      <c r="H459" s="2" t="s">
        <v>874</v>
      </c>
      <c r="I459" s="2" t="s">
        <v>1629</v>
      </c>
      <c r="J459" s="2" t="s">
        <v>1630</v>
      </c>
      <c r="K459" s="2" t="s">
        <v>400</v>
      </c>
      <c r="L459" s="3">
        <v>19</v>
      </c>
      <c r="M459" s="3">
        <v>19.95</v>
      </c>
      <c r="N459" s="3">
        <v>39.99</v>
      </c>
      <c r="O459" s="2" t="s">
        <v>95</v>
      </c>
      <c r="P459" s="2" t="s">
        <v>150</v>
      </c>
      <c r="Q459" s="2" t="s">
        <v>97</v>
      </c>
      <c r="R459" s="2" t="s">
        <v>98</v>
      </c>
      <c r="S459" s="2" t="s">
        <v>877</v>
      </c>
      <c r="T459" s="2" t="s">
        <v>98</v>
      </c>
      <c r="U459" s="2" t="s">
        <v>1494</v>
      </c>
      <c r="V459" s="2" t="s">
        <v>101</v>
      </c>
      <c r="W459" s="2" t="s">
        <v>567</v>
      </c>
      <c r="X459" s="2" t="s">
        <v>103</v>
      </c>
      <c r="Y459" s="2" t="s">
        <v>1635</v>
      </c>
      <c r="Z459" s="4">
        <v>132</v>
      </c>
      <c r="AA459" s="4">
        <f>=ROUNDDOWN(22,0)</f>
      </c>
      <c r="AB459" s="5">
        <v>6</v>
      </c>
      <c r="AC459" s="2" t="s">
        <v>250</v>
      </c>
      <c r="AD459" s="4">
        <v>24</v>
      </c>
      <c r="AE459" s="4">
        <v>120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30</v>
      </c>
      <c r="AQ459" s="8">
        <v>628.5</v>
      </c>
      <c r="AR459" s="4"/>
      <c r="AS459" s="8"/>
      <c r="AT459" s="7"/>
      <c r="AU459" s="7"/>
      <c r="AV459" s="4">
        <v>30</v>
      </c>
      <c r="AW459" s="8">
        <v>628.5</v>
      </c>
      <c r="AX459" s="4"/>
      <c r="AY459" s="8"/>
      <c r="AZ459" s="7"/>
      <c r="BA459" s="7"/>
      <c r="BB459" s="7">
        <v>1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0.2128</v>
      </c>
      <c r="BJ459" s="4">
        <v>77</v>
      </c>
      <c r="BK459" s="8">
        <v>1617.61</v>
      </c>
      <c r="BL459" s="2" t="s">
        <v>1047</v>
      </c>
      <c r="BM459" s="7">
        <v>0.3896</v>
      </c>
      <c r="BN459" s="7">
        <v>0.3885</v>
      </c>
      <c r="BO459" s="4">
        <v>30</v>
      </c>
      <c r="BP459" s="8">
        <v>628.5</v>
      </c>
      <c r="BQ459" s="4"/>
      <c r="BR459" s="8"/>
      <c r="BS459" s="7"/>
      <c r="BT459" s="7"/>
      <c r="BU459" s="2" t="s">
        <v>107</v>
      </c>
      <c r="BV459" s="2" t="s">
        <v>108</v>
      </c>
      <c r="BW459" s="2" t="s">
        <v>1258</v>
      </c>
      <c r="BX459" s="2" t="s">
        <v>546</v>
      </c>
      <c r="BY459" s="2" t="s">
        <v>111</v>
      </c>
    </row>
    <row r="460">
      <c r="A460" s="2" t="s">
        <v>1636</v>
      </c>
      <c r="B460" s="2" t="s">
        <v>86</v>
      </c>
      <c r="C460" s="2" t="s">
        <v>87</v>
      </c>
      <c r="D460" s="2" t="s">
        <v>88</v>
      </c>
      <c r="E460" s="2" t="s">
        <v>1597</v>
      </c>
      <c r="F460" s="2" t="s">
        <v>872</v>
      </c>
      <c r="G460" s="2" t="s">
        <v>873</v>
      </c>
      <c r="H460" s="2" t="s">
        <v>874</v>
      </c>
      <c r="I460" s="2" t="s">
        <v>1629</v>
      </c>
      <c r="J460" s="2" t="s">
        <v>1630</v>
      </c>
      <c r="K460" s="2" t="s">
        <v>458</v>
      </c>
      <c r="L460" s="3">
        <v>19</v>
      </c>
      <c r="M460" s="3">
        <v>19.95</v>
      </c>
      <c r="N460" s="3">
        <v>39.99</v>
      </c>
      <c r="O460" s="2" t="s">
        <v>95</v>
      </c>
      <c r="P460" s="2" t="s">
        <v>215</v>
      </c>
      <c r="Q460" s="2" t="s">
        <v>97</v>
      </c>
      <c r="R460" s="2" t="s">
        <v>98</v>
      </c>
      <c r="S460" s="2" t="s">
        <v>922</v>
      </c>
      <c r="T460" s="2" t="s">
        <v>98</v>
      </c>
      <c r="U460" s="2" t="s">
        <v>1494</v>
      </c>
      <c r="V460" s="2" t="s">
        <v>101</v>
      </c>
      <c r="W460" s="2" t="s">
        <v>567</v>
      </c>
      <c r="X460" s="2" t="s">
        <v>98</v>
      </c>
      <c r="Y460" s="2" t="s">
        <v>1089</v>
      </c>
      <c r="Z460" s="4">
        <v>302</v>
      </c>
      <c r="AA460" s="4">
        <f>=ROUNDDOWN(41.3698630136986,0)</f>
      </c>
      <c r="AB460" s="5">
        <v>7.3</v>
      </c>
      <c r="AC460" s="2" t="s">
        <v>98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21</v>
      </c>
      <c r="AQ460" s="8">
        <v>439.95</v>
      </c>
      <c r="AR460" s="4"/>
      <c r="AS460" s="8"/>
      <c r="AT460" s="7"/>
      <c r="AU460" s="7"/>
      <c r="AV460" s="4">
        <v>21</v>
      </c>
      <c r="AW460" s="8">
        <v>439.95</v>
      </c>
      <c r="AX460" s="4"/>
      <c r="AY460" s="8"/>
      <c r="AZ460" s="7"/>
      <c r="BA460" s="7"/>
      <c r="BB460" s="7">
        <v>1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0.1489</v>
      </c>
      <c r="BJ460" s="4">
        <v>43</v>
      </c>
      <c r="BK460" s="8">
        <v>927.7</v>
      </c>
      <c r="BL460" s="2" t="s">
        <v>1579</v>
      </c>
      <c r="BM460" s="7">
        <v>0.4884</v>
      </c>
      <c r="BN460" s="7">
        <v>0.4742</v>
      </c>
      <c r="BO460" s="4">
        <v>21</v>
      </c>
      <c r="BP460" s="8">
        <v>439.95</v>
      </c>
      <c r="BQ460" s="4"/>
      <c r="BR460" s="8"/>
      <c r="BS460" s="7"/>
      <c r="BT460" s="7"/>
      <c r="BU460" s="2" t="s">
        <v>107</v>
      </c>
      <c r="BV460" s="2" t="s">
        <v>108</v>
      </c>
      <c r="BW460" s="2" t="s">
        <v>1258</v>
      </c>
      <c r="BX460" s="2" t="s">
        <v>1576</v>
      </c>
      <c r="BY460" s="2" t="s">
        <v>111</v>
      </c>
    </row>
    <row r="461">
      <c r="A461" s="2" t="s">
        <v>1637</v>
      </c>
      <c r="B461" s="2" t="s">
        <v>86</v>
      </c>
      <c r="C461" s="2" t="s">
        <v>87</v>
      </c>
      <c r="D461" s="2" t="s">
        <v>88</v>
      </c>
      <c r="E461" s="2" t="s">
        <v>1597</v>
      </c>
      <c r="F461" s="2" t="s">
        <v>872</v>
      </c>
      <c r="G461" s="2" t="s">
        <v>873</v>
      </c>
      <c r="H461" s="2" t="s">
        <v>874</v>
      </c>
      <c r="I461" s="2" t="s">
        <v>1629</v>
      </c>
      <c r="J461" s="2" t="s">
        <v>1630</v>
      </c>
      <c r="K461" s="2" t="s">
        <v>997</v>
      </c>
      <c r="L461" s="3">
        <v>19</v>
      </c>
      <c r="M461" s="3">
        <v>19.95</v>
      </c>
      <c r="N461" s="3">
        <v>39.99</v>
      </c>
      <c r="O461" s="2" t="s">
        <v>95</v>
      </c>
      <c r="P461" s="2" t="s">
        <v>215</v>
      </c>
      <c r="Q461" s="2" t="s">
        <v>97</v>
      </c>
      <c r="R461" s="2" t="s">
        <v>98</v>
      </c>
      <c r="S461" s="2" t="s">
        <v>998</v>
      </c>
      <c r="T461" s="2" t="s">
        <v>98</v>
      </c>
      <c r="U461" s="2" t="s">
        <v>1494</v>
      </c>
      <c r="V461" s="2" t="s">
        <v>101</v>
      </c>
      <c r="W461" s="2" t="s">
        <v>567</v>
      </c>
      <c r="X461" s="2" t="s">
        <v>98</v>
      </c>
      <c r="Y461" s="2" t="s">
        <v>1635</v>
      </c>
      <c r="Z461" s="4">
        <v>290</v>
      </c>
      <c r="AA461" s="4">
        <f>=ROUNDDOWN(58,0)</f>
      </c>
      <c r="AB461" s="5">
        <v>5</v>
      </c>
      <c r="AC461" s="2" t="s">
        <v>98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8</v>
      </c>
      <c r="AQ461" s="8">
        <v>167.6</v>
      </c>
      <c r="AR461" s="4"/>
      <c r="AS461" s="8"/>
      <c r="AT461" s="7"/>
      <c r="AU461" s="7"/>
      <c r="AV461" s="4">
        <v>8</v>
      </c>
      <c r="AW461" s="8">
        <v>167.6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0.0567</v>
      </c>
      <c r="BJ461" s="4">
        <v>32</v>
      </c>
      <c r="BK461" s="8">
        <v>677.26</v>
      </c>
      <c r="BL461" s="2" t="s">
        <v>1047</v>
      </c>
      <c r="BM461" s="7">
        <v>0.25</v>
      </c>
      <c r="BN461" s="7">
        <v>0.2475</v>
      </c>
      <c r="BO461" s="4">
        <v>8</v>
      </c>
      <c r="BP461" s="8">
        <v>167.6</v>
      </c>
      <c r="BQ461" s="4"/>
      <c r="BR461" s="8"/>
      <c r="BS461" s="7"/>
      <c r="BT461" s="7"/>
      <c r="BU461" s="2" t="s">
        <v>107</v>
      </c>
      <c r="BV461" s="2" t="s">
        <v>108</v>
      </c>
      <c r="BW461" s="2" t="s">
        <v>1258</v>
      </c>
      <c r="BX461" s="2" t="s">
        <v>1572</v>
      </c>
      <c r="BY461" s="2" t="s">
        <v>111</v>
      </c>
    </row>
    <row r="462">
      <c r="A462" s="2" t="s">
        <v>1638</v>
      </c>
      <c r="B462" s="2" t="s">
        <v>86</v>
      </c>
      <c r="C462" s="2" t="s">
        <v>87</v>
      </c>
      <c r="D462" s="2" t="s">
        <v>88</v>
      </c>
      <c r="E462" s="2" t="s">
        <v>1597</v>
      </c>
      <c r="F462" s="2" t="s">
        <v>1164</v>
      </c>
      <c r="G462" s="2" t="s">
        <v>1165</v>
      </c>
      <c r="H462" s="2" t="s">
        <v>1166</v>
      </c>
      <c r="I462" s="2" t="s">
        <v>1639</v>
      </c>
      <c r="J462" s="2" t="s">
        <v>1640</v>
      </c>
      <c r="K462" s="2" t="s">
        <v>94</v>
      </c>
      <c r="L462" s="3">
        <v>22.75</v>
      </c>
      <c r="M462" s="3">
        <v>23.89</v>
      </c>
      <c r="N462" s="3">
        <v>47.99</v>
      </c>
      <c r="O462" s="2" t="s">
        <v>95</v>
      </c>
      <c r="P462" s="2" t="s">
        <v>150</v>
      </c>
      <c r="Q462" s="2" t="s">
        <v>97</v>
      </c>
      <c r="R462" s="2" t="s">
        <v>98</v>
      </c>
      <c r="S462" s="2" t="s">
        <v>1189</v>
      </c>
      <c r="T462" s="2" t="s">
        <v>98</v>
      </c>
      <c r="U462" s="2" t="s">
        <v>1494</v>
      </c>
      <c r="V462" s="2" t="s">
        <v>101</v>
      </c>
      <c r="W462" s="2" t="s">
        <v>567</v>
      </c>
      <c r="X462" s="2" t="s">
        <v>372</v>
      </c>
      <c r="Y462" s="2" t="s">
        <v>1641</v>
      </c>
      <c r="Z462" s="4"/>
      <c r="AA462" s="4">
        <f>=ROUNDDOWN({0},0)</f>
      </c>
      <c r="AB462" s="5">
        <v>14</v>
      </c>
      <c r="AC462" s="2" t="s">
        <v>489</v>
      </c>
      <c r="AD462" s="4">
        <v>332</v>
      </c>
      <c r="AE462" s="4">
        <v>332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74</v>
      </c>
      <c r="AQ462" s="8">
        <v>1855.92</v>
      </c>
      <c r="AR462" s="4"/>
      <c r="AS462" s="8"/>
      <c r="AT462" s="7"/>
      <c r="AU462" s="7"/>
      <c r="AV462" s="4">
        <v>74</v>
      </c>
      <c r="AW462" s="8">
        <v>1855.92</v>
      </c>
      <c r="AX462" s="4"/>
      <c r="AY462" s="8"/>
      <c r="AZ462" s="7"/>
      <c r="BA462" s="7"/>
      <c r="BB462" s="7">
        <v>1</v>
      </c>
      <c r="BC462" s="4">
        <v>115</v>
      </c>
      <c r="BD462" s="8">
        <v>2884.2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0.6435</v>
      </c>
      <c r="BJ462" s="4">
        <v>148</v>
      </c>
      <c r="BK462" s="8">
        <v>3744.69</v>
      </c>
      <c r="BL462" s="2" t="s">
        <v>1257</v>
      </c>
      <c r="BM462" s="7">
        <v>0.5</v>
      </c>
      <c r="BN462" s="7">
        <v>0.4956</v>
      </c>
      <c r="BO462" s="4">
        <v>74</v>
      </c>
      <c r="BP462" s="8">
        <v>1855.92</v>
      </c>
      <c r="BQ462" s="4"/>
      <c r="BR462" s="8"/>
      <c r="BS462" s="7"/>
      <c r="BT462" s="7"/>
      <c r="BU462" s="2" t="s">
        <v>107</v>
      </c>
      <c r="BV462" s="2" t="s">
        <v>108</v>
      </c>
      <c r="BW462" s="2" t="s">
        <v>1258</v>
      </c>
      <c r="BX462" s="2" t="s">
        <v>1405</v>
      </c>
      <c r="BY462" s="2" t="s">
        <v>111</v>
      </c>
    </row>
    <row r="463">
      <c r="A463" s="2" t="s">
        <v>1642</v>
      </c>
      <c r="B463" s="2" t="s">
        <v>86</v>
      </c>
      <c r="C463" s="2" t="s">
        <v>87</v>
      </c>
      <c r="D463" s="2" t="s">
        <v>88</v>
      </c>
      <c r="E463" s="2" t="s">
        <v>1597</v>
      </c>
      <c r="F463" s="2" t="s">
        <v>1164</v>
      </c>
      <c r="G463" s="2" t="s">
        <v>1165</v>
      </c>
      <c r="H463" s="2" t="s">
        <v>1166</v>
      </c>
      <c r="I463" s="2" t="s">
        <v>1639</v>
      </c>
      <c r="J463" s="2" t="s">
        <v>1640</v>
      </c>
      <c r="K463" s="2" t="s">
        <v>557</v>
      </c>
      <c r="L463" s="3">
        <v>22.75</v>
      </c>
      <c r="M463" s="3">
        <v>23.89</v>
      </c>
      <c r="N463" s="3">
        <v>47.99</v>
      </c>
      <c r="O463" s="2" t="s">
        <v>95</v>
      </c>
      <c r="P463" s="2" t="s">
        <v>150</v>
      </c>
      <c r="Q463" s="2" t="s">
        <v>97</v>
      </c>
      <c r="R463" s="2" t="s">
        <v>98</v>
      </c>
      <c r="S463" s="2" t="s">
        <v>1181</v>
      </c>
      <c r="T463" s="2" t="s">
        <v>98</v>
      </c>
      <c r="U463" s="2" t="s">
        <v>1494</v>
      </c>
      <c r="V463" s="2" t="s">
        <v>101</v>
      </c>
      <c r="W463" s="2" t="s">
        <v>567</v>
      </c>
      <c r="X463" s="2" t="s">
        <v>372</v>
      </c>
      <c r="Y463" s="2" t="s">
        <v>1641</v>
      </c>
      <c r="Z463" s="4"/>
      <c r="AA463" s="4">
        <f>=ROUNDDOWN({0},0)</f>
      </c>
      <c r="AB463" s="5">
        <v>10</v>
      </c>
      <c r="AC463" s="2" t="s">
        <v>489</v>
      </c>
      <c r="AD463" s="4">
        <v>404</v>
      </c>
      <c r="AE463" s="4">
        <v>404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34</v>
      </c>
      <c r="AQ463" s="8">
        <v>852.72</v>
      </c>
      <c r="AR463" s="4"/>
      <c r="AS463" s="8"/>
      <c r="AT463" s="7"/>
      <c r="AU463" s="7"/>
      <c r="AV463" s="4">
        <v>34</v>
      </c>
      <c r="AW463" s="8">
        <v>852.72</v>
      </c>
      <c r="AX463" s="4"/>
      <c r="AY463" s="8"/>
      <c r="AZ463" s="7"/>
      <c r="BA463" s="7"/>
      <c r="BB463" s="7">
        <v>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0.2957</v>
      </c>
      <c r="BJ463" s="4">
        <v>95</v>
      </c>
      <c r="BK463" s="8">
        <v>2484.91</v>
      </c>
      <c r="BL463" s="2" t="s">
        <v>855</v>
      </c>
      <c r="BM463" s="7">
        <v>0.3579</v>
      </c>
      <c r="BN463" s="7">
        <v>0.3432</v>
      </c>
      <c r="BO463" s="4">
        <v>34</v>
      </c>
      <c r="BP463" s="8">
        <v>852.72</v>
      </c>
      <c r="BQ463" s="4"/>
      <c r="BR463" s="8"/>
      <c r="BS463" s="7"/>
      <c r="BT463" s="7"/>
      <c r="BU463" s="2" t="s">
        <v>107</v>
      </c>
      <c r="BV463" s="2" t="s">
        <v>108</v>
      </c>
      <c r="BW463" s="2" t="s">
        <v>1258</v>
      </c>
      <c r="BX463" s="2" t="s">
        <v>1572</v>
      </c>
      <c r="BY463" s="2" t="s">
        <v>111</v>
      </c>
    </row>
    <row r="464">
      <c r="A464" s="2" t="s">
        <v>1643</v>
      </c>
      <c r="B464" s="2" t="s">
        <v>86</v>
      </c>
      <c r="C464" s="2" t="s">
        <v>87</v>
      </c>
      <c r="D464" s="2" t="s">
        <v>88</v>
      </c>
      <c r="E464" s="2" t="s">
        <v>1597</v>
      </c>
      <c r="F464" s="2" t="s">
        <v>1164</v>
      </c>
      <c r="G464" s="2" t="s">
        <v>1165</v>
      </c>
      <c r="H464" s="2" t="s">
        <v>1166</v>
      </c>
      <c r="I464" s="2" t="s">
        <v>1639</v>
      </c>
      <c r="J464" s="2" t="s">
        <v>1640</v>
      </c>
      <c r="K464" s="2" t="s">
        <v>458</v>
      </c>
      <c r="L464" s="3">
        <v>22.75</v>
      </c>
      <c r="M464" s="3">
        <v>23.89</v>
      </c>
      <c r="N464" s="3">
        <v>47.99</v>
      </c>
      <c r="O464" s="2" t="s">
        <v>95</v>
      </c>
      <c r="P464" s="2" t="s">
        <v>215</v>
      </c>
      <c r="Q464" s="2" t="s">
        <v>97</v>
      </c>
      <c r="R464" s="2" t="s">
        <v>98</v>
      </c>
      <c r="S464" s="2" t="s">
        <v>1168</v>
      </c>
      <c r="T464" s="2" t="s">
        <v>98</v>
      </c>
      <c r="U464" s="2" t="s">
        <v>1494</v>
      </c>
      <c r="V464" s="2" t="s">
        <v>101</v>
      </c>
      <c r="W464" s="2" t="s">
        <v>567</v>
      </c>
      <c r="X464" s="2" t="s">
        <v>98</v>
      </c>
      <c r="Y464" s="2" t="s">
        <v>1641</v>
      </c>
      <c r="Z464" s="4">
        <v>189</v>
      </c>
      <c r="AA464" s="4">
        <f>=ROUNDDOWN(63,0)</f>
      </c>
      <c r="AB464" s="5">
        <v>3</v>
      </c>
      <c r="AC464" s="2" t="s">
        <v>98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7</v>
      </c>
      <c r="AQ464" s="8">
        <v>175.56</v>
      </c>
      <c r="AR464" s="4"/>
      <c r="AS464" s="8"/>
      <c r="AT464" s="7"/>
      <c r="AU464" s="7"/>
      <c r="AV464" s="4">
        <v>7</v>
      </c>
      <c r="AW464" s="8">
        <v>175.56</v>
      </c>
      <c r="AX464" s="4"/>
      <c r="AY464" s="8"/>
      <c r="AZ464" s="7"/>
      <c r="BA464" s="7"/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0.0609</v>
      </c>
      <c r="BJ464" s="4">
        <v>33</v>
      </c>
      <c r="BK464" s="8">
        <v>857.42</v>
      </c>
      <c r="BL464" s="2" t="s">
        <v>1047</v>
      </c>
      <c r="BM464" s="7">
        <v>0.2121</v>
      </c>
      <c r="BN464" s="7">
        <v>0.2048</v>
      </c>
      <c r="BO464" s="4">
        <v>7</v>
      </c>
      <c r="BP464" s="8">
        <v>175.56</v>
      </c>
      <c r="BQ464" s="4"/>
      <c r="BR464" s="8"/>
      <c r="BS464" s="7"/>
      <c r="BT464" s="7"/>
      <c r="BU464" s="2" t="s">
        <v>107</v>
      </c>
      <c r="BV464" s="2" t="s">
        <v>108</v>
      </c>
      <c r="BW464" s="2" t="s">
        <v>1258</v>
      </c>
      <c r="BX464" s="2" t="s">
        <v>1644</v>
      </c>
      <c r="BY464" s="2" t="s">
        <v>111</v>
      </c>
    </row>
    <row r="465">
      <c r="A465" s="2" t="s">
        <v>1645</v>
      </c>
      <c r="B465" s="2" t="s">
        <v>86</v>
      </c>
      <c r="C465" s="2" t="s">
        <v>87</v>
      </c>
      <c r="D465" s="2" t="s">
        <v>88</v>
      </c>
      <c r="E465" s="2" t="s">
        <v>1597</v>
      </c>
      <c r="F465" s="2" t="s">
        <v>1215</v>
      </c>
      <c r="G465" s="2" t="s">
        <v>1216</v>
      </c>
      <c r="H465" s="2" t="s">
        <v>1217</v>
      </c>
      <c r="I465" s="2" t="s">
        <v>1646</v>
      </c>
      <c r="J465" s="2" t="s">
        <v>1470</v>
      </c>
      <c r="K465" s="2" t="s">
        <v>551</v>
      </c>
      <c r="L465" s="3">
        <v>23.77</v>
      </c>
      <c r="M465" s="3">
        <v>24.96</v>
      </c>
      <c r="N465" s="3">
        <v>54.99</v>
      </c>
      <c r="O465" s="2" t="s">
        <v>95</v>
      </c>
      <c r="P465" s="2" t="s">
        <v>313</v>
      </c>
      <c r="Q465" s="2" t="s">
        <v>97</v>
      </c>
      <c r="R465" s="2" t="s">
        <v>98</v>
      </c>
      <c r="S465" s="2" t="s">
        <v>1239</v>
      </c>
      <c r="T465" s="2" t="s">
        <v>98</v>
      </c>
      <c r="U465" s="2" t="s">
        <v>1494</v>
      </c>
      <c r="V465" s="2" t="s">
        <v>482</v>
      </c>
      <c r="W465" s="2" t="s">
        <v>335</v>
      </c>
      <c r="X465" s="2" t="s">
        <v>1220</v>
      </c>
      <c r="Y465" s="2" t="s">
        <v>1143</v>
      </c>
      <c r="Z465" s="4">
        <v>543</v>
      </c>
      <c r="AA465" s="4">
        <f>=ROUNDDOWN(77.5714285714286,0)</f>
      </c>
      <c r="AB465" s="5">
        <v>7</v>
      </c>
      <c r="AC465" s="2" t="s">
        <v>98</v>
      </c>
      <c r="AD465" s="4"/>
      <c r="AE465" s="4"/>
      <c r="AF465" s="6">
        <v>65</v>
      </c>
      <c r="AG465" s="6"/>
      <c r="AH465" s="7">
        <v>0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/>
      <c r="BK465" s="8"/>
      <c r="BL465" s="2" t="s">
        <v>98</v>
      </c>
      <c r="BM465" s="7"/>
      <c r="BN465" s="7"/>
      <c r="BO465" s="4"/>
      <c r="BP465" s="8"/>
      <c r="BQ465" s="4"/>
      <c r="BR465" s="8"/>
      <c r="BS465" s="7"/>
      <c r="BT465" s="7"/>
      <c r="BU465" s="2" t="s">
        <v>316</v>
      </c>
      <c r="BV465" s="2" t="s">
        <v>95</v>
      </c>
      <c r="BW465" s="2" t="s">
        <v>98</v>
      </c>
      <c r="BX465" s="2" t="s">
        <v>98</v>
      </c>
      <c r="BY465" s="2" t="s">
        <v>111</v>
      </c>
    </row>
    <row r="466">
      <c r="A466" s="2" t="s">
        <v>1647</v>
      </c>
      <c r="B466" s="2" t="s">
        <v>86</v>
      </c>
      <c r="C466" s="2" t="s">
        <v>87</v>
      </c>
      <c r="D466" s="2" t="s">
        <v>88</v>
      </c>
      <c r="E466" s="2" t="s">
        <v>1597</v>
      </c>
      <c r="F466" s="2" t="s">
        <v>1215</v>
      </c>
      <c r="G466" s="2" t="s">
        <v>1216</v>
      </c>
      <c r="H466" s="2" t="s">
        <v>1217</v>
      </c>
      <c r="I466" s="2" t="s">
        <v>1646</v>
      </c>
      <c r="J466" s="2" t="s">
        <v>1470</v>
      </c>
      <c r="K466" s="2" t="s">
        <v>458</v>
      </c>
      <c r="L466" s="3">
        <v>23.77</v>
      </c>
      <c r="M466" s="3">
        <v>24.96</v>
      </c>
      <c r="N466" s="3">
        <v>54.99</v>
      </c>
      <c r="O466" s="2" t="s">
        <v>95</v>
      </c>
      <c r="P466" s="2" t="s">
        <v>313</v>
      </c>
      <c r="Q466" s="2" t="s">
        <v>97</v>
      </c>
      <c r="R466" s="2" t="s">
        <v>98</v>
      </c>
      <c r="S466" s="2" t="s">
        <v>1233</v>
      </c>
      <c r="T466" s="2" t="s">
        <v>98</v>
      </c>
      <c r="U466" s="2" t="s">
        <v>1494</v>
      </c>
      <c r="V466" s="2" t="s">
        <v>482</v>
      </c>
      <c r="W466" s="2" t="s">
        <v>335</v>
      </c>
      <c r="X466" s="2" t="s">
        <v>1220</v>
      </c>
      <c r="Y466" s="2" t="s">
        <v>1143</v>
      </c>
      <c r="Z466" s="4">
        <v>475</v>
      </c>
      <c r="AA466" s="4">
        <f>=ROUNDDOWN(31.6666666666667,0)</f>
      </c>
      <c r="AB466" s="5">
        <v>15</v>
      </c>
      <c r="AC466" s="2" t="s">
        <v>98</v>
      </c>
      <c r="AD466" s="4"/>
      <c r="AE466" s="4"/>
      <c r="AF466" s="6">
        <v>65</v>
      </c>
      <c r="AG466" s="6"/>
      <c r="AH466" s="7">
        <v>0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/>
      <c r="BK466" s="8"/>
      <c r="BL466" s="2" t="s">
        <v>98</v>
      </c>
      <c r="BM466" s="7"/>
      <c r="BN466" s="7"/>
      <c r="BO466" s="4"/>
      <c r="BP466" s="8"/>
      <c r="BQ466" s="4"/>
      <c r="BR466" s="8"/>
      <c r="BS466" s="7"/>
      <c r="BT466" s="7"/>
      <c r="BU466" s="2" t="s">
        <v>316</v>
      </c>
      <c r="BV466" s="2" t="s">
        <v>95</v>
      </c>
      <c r="BW466" s="2" t="s">
        <v>98</v>
      </c>
      <c r="BX466" s="2" t="s">
        <v>98</v>
      </c>
      <c r="BY466" s="2" t="s">
        <v>111</v>
      </c>
    </row>
    <row r="467">
      <c r="A467" s="2" t="s">
        <v>1648</v>
      </c>
      <c r="B467" s="2" t="s">
        <v>86</v>
      </c>
      <c r="C467" s="2" t="s">
        <v>87</v>
      </c>
      <c r="D467" s="2" t="s">
        <v>88</v>
      </c>
      <c r="E467" s="2" t="s">
        <v>1597</v>
      </c>
      <c r="F467" s="2" t="s">
        <v>1649</v>
      </c>
      <c r="G467" s="2" t="s">
        <v>1649</v>
      </c>
      <c r="H467" s="2" t="s">
        <v>1650</v>
      </c>
      <c r="I467" s="2" t="s">
        <v>1651</v>
      </c>
      <c r="J467" s="2" t="s">
        <v>809</v>
      </c>
      <c r="K467" s="2" t="s">
        <v>460</v>
      </c>
      <c r="L467" s="3">
        <v>20.7</v>
      </c>
      <c r="M467" s="3">
        <v>21.74</v>
      </c>
      <c r="N467" s="3">
        <v>45.99</v>
      </c>
      <c r="O467" s="2" t="s">
        <v>368</v>
      </c>
      <c r="P467" s="2" t="s">
        <v>215</v>
      </c>
      <c r="Q467" s="2" t="s">
        <v>97</v>
      </c>
      <c r="R467" s="2" t="s">
        <v>98</v>
      </c>
      <c r="S467" s="2" t="s">
        <v>1652</v>
      </c>
      <c r="T467" s="2" t="s">
        <v>98</v>
      </c>
      <c r="U467" s="2" t="s">
        <v>98</v>
      </c>
      <c r="V467" s="2" t="s">
        <v>522</v>
      </c>
      <c r="W467" s="2" t="s">
        <v>567</v>
      </c>
      <c r="X467" s="2" t="s">
        <v>98</v>
      </c>
      <c r="Y467" s="2" t="s">
        <v>104</v>
      </c>
      <c r="Z467" s="4"/>
      <c r="AA467" s="4">
        <f>=ROUNDDOWN({0},0)</f>
      </c>
      <c r="AB467" s="5"/>
      <c r="AC467" s="2" t="s">
        <v>98</v>
      </c>
      <c r="AD467" s="4"/>
      <c r="AE467" s="4"/>
      <c r="AF467" s="6">
        <v>65</v>
      </c>
      <c r="AG467" s="6"/>
      <c r="AH467" s="7">
        <v>0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>
        <v>4</v>
      </c>
      <c r="AS467" s="8">
        <v>79</v>
      </c>
      <c r="AT467" s="7">
        <v>-1</v>
      </c>
      <c r="AU467" s="7">
        <v>-1</v>
      </c>
      <c r="AV467" s="4" t="s">
        <v>98</v>
      </c>
      <c r="AW467" s="8" t="s">
        <v>98</v>
      </c>
      <c r="AX467" s="4">
        <v>18</v>
      </c>
      <c r="AY467" s="8">
        <v>406.46</v>
      </c>
      <c r="AZ467" s="7" t="s">
        <v>98</v>
      </c>
      <c r="BA467" s="7" t="s">
        <v>98</v>
      </c>
      <c r="BB467" s="7"/>
      <c r="BC467" s="4" t="s">
        <v>98</v>
      </c>
      <c r="BD467" s="8" t="s">
        <v>98</v>
      </c>
      <c r="BE467" s="4">
        <v>19</v>
      </c>
      <c r="BF467" s="8">
        <v>426.21</v>
      </c>
      <c r="BG467" s="7" t="s">
        <v>98</v>
      </c>
      <c r="BH467" s="7" t="s">
        <v>98</v>
      </c>
      <c r="BI467" s="7"/>
      <c r="BJ467" s="4"/>
      <c r="BK467" s="8"/>
      <c r="BL467" s="2" t="s">
        <v>1653</v>
      </c>
      <c r="BM467" s="7"/>
      <c r="BN467" s="7"/>
      <c r="BO467" s="4"/>
      <c r="BP467" s="8"/>
      <c r="BQ467" s="4">
        <v>4</v>
      </c>
      <c r="BR467" s="8">
        <v>79</v>
      </c>
      <c r="BS467" s="7">
        <v>-1</v>
      </c>
      <c r="BT467" s="7">
        <v>-1</v>
      </c>
      <c r="BU467" s="2" t="s">
        <v>211</v>
      </c>
      <c r="BV467" s="2" t="s">
        <v>352</v>
      </c>
      <c r="BW467" s="2" t="s">
        <v>109</v>
      </c>
      <c r="BX467" s="2" t="s">
        <v>1654</v>
      </c>
      <c r="BY467" s="2" t="s">
        <v>111</v>
      </c>
    </row>
    <row r="468">
      <c r="A468" s="2" t="s">
        <v>1655</v>
      </c>
      <c r="B468" s="2" t="s">
        <v>86</v>
      </c>
      <c r="C468" s="2" t="s">
        <v>87</v>
      </c>
      <c r="D468" s="2" t="s">
        <v>88</v>
      </c>
      <c r="E468" s="2" t="s">
        <v>1597</v>
      </c>
      <c r="F468" s="2" t="s">
        <v>1649</v>
      </c>
      <c r="G468" s="2" t="s">
        <v>1649</v>
      </c>
      <c r="H468" s="2" t="s">
        <v>1650</v>
      </c>
      <c r="I468" s="2" t="s">
        <v>1651</v>
      </c>
      <c r="J468" s="2" t="s">
        <v>814</v>
      </c>
      <c r="K468" s="2" t="s">
        <v>460</v>
      </c>
      <c r="L468" s="3">
        <v>22.5</v>
      </c>
      <c r="M468" s="3">
        <v>23.62</v>
      </c>
      <c r="N468" s="3">
        <v>49.99</v>
      </c>
      <c r="O468" s="2" t="s">
        <v>241</v>
      </c>
      <c r="P468" s="2" t="s">
        <v>215</v>
      </c>
      <c r="Q468" s="2" t="s">
        <v>97</v>
      </c>
      <c r="R468" s="2" t="s">
        <v>98</v>
      </c>
      <c r="S468" s="2" t="s">
        <v>1652</v>
      </c>
      <c r="T468" s="2" t="s">
        <v>98</v>
      </c>
      <c r="U468" s="2" t="s">
        <v>98</v>
      </c>
      <c r="V468" s="2" t="s">
        <v>101</v>
      </c>
      <c r="W468" s="2" t="s">
        <v>567</v>
      </c>
      <c r="X468" s="2" t="s">
        <v>98</v>
      </c>
      <c r="Y468" s="2" t="s">
        <v>104</v>
      </c>
      <c r="Z468" s="4"/>
      <c r="AA468" s="4">
        <f>=ROUNDDOWN({0},0)</f>
      </c>
      <c r="AB468" s="5"/>
      <c r="AC468" s="2" t="s">
        <v>98</v>
      </c>
      <c r="AD468" s="4"/>
      <c r="AE468" s="4"/>
      <c r="AF468" s="6">
        <v>65</v>
      </c>
      <c r="AG468" s="6"/>
      <c r="AH468" s="7">
        <v>0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>
        <v>7</v>
      </c>
      <c r="AS468" s="8">
        <v>145.53</v>
      </c>
      <c r="AT468" s="7">
        <v>-1</v>
      </c>
      <c r="AU468" s="7">
        <v>-1</v>
      </c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1656</v>
      </c>
      <c r="BM468" s="7"/>
      <c r="BN468" s="7"/>
      <c r="BO468" s="4"/>
      <c r="BP468" s="8"/>
      <c r="BQ468" s="4">
        <v>7</v>
      </c>
      <c r="BR468" s="8">
        <v>145.53</v>
      </c>
      <c r="BS468" s="7">
        <v>-1</v>
      </c>
      <c r="BT468" s="7">
        <v>-1</v>
      </c>
      <c r="BU468" s="2" t="s">
        <v>211</v>
      </c>
      <c r="BV468" s="2" t="s">
        <v>352</v>
      </c>
      <c r="BW468" s="2" t="s">
        <v>109</v>
      </c>
      <c r="BX468" s="2" t="s">
        <v>234</v>
      </c>
      <c r="BY468" s="2" t="s">
        <v>354</v>
      </c>
    </row>
    <row r="469">
      <c r="A469" s="2" t="s">
        <v>1657</v>
      </c>
      <c r="B469" s="2" t="s">
        <v>86</v>
      </c>
      <c r="C469" s="2" t="s">
        <v>87</v>
      </c>
      <c r="D469" s="2" t="s">
        <v>88</v>
      </c>
      <c r="E469" s="2" t="s">
        <v>1597</v>
      </c>
      <c r="F469" s="2" t="s">
        <v>1649</v>
      </c>
      <c r="G469" s="2" t="s">
        <v>1649</v>
      </c>
      <c r="H469" s="2" t="s">
        <v>1650</v>
      </c>
      <c r="I469" s="2" t="s">
        <v>1651</v>
      </c>
      <c r="J469" s="2" t="s">
        <v>1513</v>
      </c>
      <c r="K469" s="2" t="s">
        <v>460</v>
      </c>
      <c r="L469" s="3">
        <v>25.65</v>
      </c>
      <c r="M469" s="3">
        <v>26.93</v>
      </c>
      <c r="N469" s="3">
        <v>56.99</v>
      </c>
      <c r="O469" s="2" t="s">
        <v>368</v>
      </c>
      <c r="P469" s="2" t="s">
        <v>215</v>
      </c>
      <c r="Q469" s="2" t="s">
        <v>97</v>
      </c>
      <c r="R469" s="2" t="s">
        <v>98</v>
      </c>
      <c r="S469" s="2" t="s">
        <v>1652</v>
      </c>
      <c r="T469" s="2" t="s">
        <v>98</v>
      </c>
      <c r="U469" s="2" t="s">
        <v>98</v>
      </c>
      <c r="V469" s="2" t="s">
        <v>522</v>
      </c>
      <c r="W469" s="2" t="s">
        <v>567</v>
      </c>
      <c r="X469" s="2" t="s">
        <v>98</v>
      </c>
      <c r="Y469" s="2" t="s">
        <v>104</v>
      </c>
      <c r="Z469" s="4"/>
      <c r="AA469" s="4">
        <f>=ROUNDDOWN({0},0)</f>
      </c>
      <c r="AB469" s="5"/>
      <c r="AC469" s="2" t="s">
        <v>98</v>
      </c>
      <c r="AD469" s="4"/>
      <c r="AE469" s="4"/>
      <c r="AF469" s="6"/>
      <c r="AG469" s="6"/>
      <c r="AH469" s="7">
        <v>0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>
        <v>7</v>
      </c>
      <c r="AS469" s="8">
        <v>181.93</v>
      </c>
      <c r="AT469" s="7">
        <v>-1</v>
      </c>
      <c r="AU469" s="7">
        <v>-1</v>
      </c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834</v>
      </c>
      <c r="BM469" s="7"/>
      <c r="BN469" s="7"/>
      <c r="BO469" s="4"/>
      <c r="BP469" s="8"/>
      <c r="BQ469" s="4">
        <v>7</v>
      </c>
      <c r="BR469" s="8">
        <v>181.93</v>
      </c>
      <c r="BS469" s="7">
        <v>-1</v>
      </c>
      <c r="BT469" s="7">
        <v>-1</v>
      </c>
      <c r="BU469" s="2" t="s">
        <v>211</v>
      </c>
      <c r="BV469" s="2" t="s">
        <v>352</v>
      </c>
      <c r="BW469" s="2" t="s">
        <v>109</v>
      </c>
      <c r="BX469" s="2" t="s">
        <v>1658</v>
      </c>
      <c r="BY469" s="2" t="s">
        <v>111</v>
      </c>
    </row>
    <row r="470">
      <c r="A470" s="2" t="s">
        <v>1659</v>
      </c>
      <c r="B470" s="2" t="s">
        <v>86</v>
      </c>
      <c r="C470" s="2" t="s">
        <v>87</v>
      </c>
      <c r="D470" s="2" t="s">
        <v>88</v>
      </c>
      <c r="E470" s="2" t="s">
        <v>1597</v>
      </c>
      <c r="F470" s="2" t="s">
        <v>1649</v>
      </c>
      <c r="G470" s="2" t="s">
        <v>1660</v>
      </c>
      <c r="H470" s="2" t="s">
        <v>1650</v>
      </c>
      <c r="I470" s="2" t="s">
        <v>1651</v>
      </c>
      <c r="J470" s="2" t="s">
        <v>809</v>
      </c>
      <c r="K470" s="2" t="s">
        <v>458</v>
      </c>
      <c r="L470" s="3">
        <v>20.7</v>
      </c>
      <c r="M470" s="3">
        <v>21.74</v>
      </c>
      <c r="N470" s="3">
        <v>45.99</v>
      </c>
      <c r="O470" s="2" t="s">
        <v>241</v>
      </c>
      <c r="P470" s="2" t="s">
        <v>215</v>
      </c>
      <c r="Q470" s="2" t="s">
        <v>97</v>
      </c>
      <c r="R470" s="2" t="s">
        <v>98</v>
      </c>
      <c r="S470" s="2" t="s">
        <v>1661</v>
      </c>
      <c r="T470" s="2" t="s">
        <v>98</v>
      </c>
      <c r="U470" s="2" t="s">
        <v>98</v>
      </c>
      <c r="V470" s="2" t="s">
        <v>522</v>
      </c>
      <c r="W470" s="2" t="s">
        <v>567</v>
      </c>
      <c r="X470" s="2" t="s">
        <v>98</v>
      </c>
      <c r="Y470" s="2" t="s">
        <v>104</v>
      </c>
      <c r="Z470" s="4"/>
      <c r="AA470" s="4">
        <f>=ROUNDDOWN({0},0)</f>
      </c>
      <c r="AB470" s="5"/>
      <c r="AC470" s="2" t="s">
        <v>98</v>
      </c>
      <c r="AD470" s="4"/>
      <c r="AE470" s="4"/>
      <c r="AF470" s="6">
        <v>65</v>
      </c>
      <c r="AG470" s="6"/>
      <c r="AH470" s="7">
        <v>0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>
        <v>1</v>
      </c>
      <c r="AS470" s="8">
        <v>19.75</v>
      </c>
      <c r="AT470" s="7">
        <v>-1</v>
      </c>
      <c r="AU470" s="7">
        <v>-1</v>
      </c>
      <c r="AV470" s="4"/>
      <c r="AW470" s="8"/>
      <c r="AX470" s="4">
        <v>1</v>
      </c>
      <c r="AY470" s="8">
        <v>19.75</v>
      </c>
      <c r="AZ470" s="7">
        <v>-1</v>
      </c>
      <c r="BA470" s="7">
        <v>-1</v>
      </c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1662</v>
      </c>
      <c r="BM470" s="7"/>
      <c r="BN470" s="7"/>
      <c r="BO470" s="4"/>
      <c r="BP470" s="8"/>
      <c r="BQ470" s="4">
        <v>1</v>
      </c>
      <c r="BR470" s="8">
        <v>19.75</v>
      </c>
      <c r="BS470" s="7">
        <v>-1</v>
      </c>
      <c r="BT470" s="7">
        <v>-1</v>
      </c>
      <c r="BU470" s="2" t="s">
        <v>211</v>
      </c>
      <c r="BV470" s="2" t="s">
        <v>352</v>
      </c>
      <c r="BW470" s="2" t="s">
        <v>109</v>
      </c>
      <c r="BX470" s="2" t="s">
        <v>142</v>
      </c>
      <c r="BY470" s="2" t="s">
        <v>354</v>
      </c>
    </row>
    <row r="471">
      <c r="A471" s="2" t="s">
        <v>1663</v>
      </c>
      <c r="B471" s="2" t="s">
        <v>86</v>
      </c>
      <c r="C471" s="2" t="s">
        <v>87</v>
      </c>
      <c r="D471" s="2" t="s">
        <v>88</v>
      </c>
      <c r="E471" s="2" t="s">
        <v>1597</v>
      </c>
      <c r="F471" s="2" t="s">
        <v>89</v>
      </c>
      <c r="G471" s="2" t="s">
        <v>90</v>
      </c>
      <c r="H471" s="2" t="s">
        <v>91</v>
      </c>
      <c r="I471" s="2" t="s">
        <v>1664</v>
      </c>
      <c r="J471" s="2" t="s">
        <v>1470</v>
      </c>
      <c r="K471" s="2" t="s">
        <v>94</v>
      </c>
      <c r="L471" s="3">
        <v>28.5</v>
      </c>
      <c r="M471" s="3">
        <v>29.93</v>
      </c>
      <c r="N471" s="3">
        <v>69.99</v>
      </c>
      <c r="O471" s="2" t="s">
        <v>95</v>
      </c>
      <c r="P471" s="2" t="s">
        <v>313</v>
      </c>
      <c r="Q471" s="2" t="s">
        <v>97</v>
      </c>
      <c r="R471" s="2" t="s">
        <v>98</v>
      </c>
      <c r="S471" s="2" t="s">
        <v>99</v>
      </c>
      <c r="T471" s="2" t="s">
        <v>98</v>
      </c>
      <c r="U471" s="2" t="s">
        <v>1494</v>
      </c>
      <c r="V471" s="2" t="s">
        <v>101</v>
      </c>
      <c r="W471" s="2" t="s">
        <v>102</v>
      </c>
      <c r="X471" s="2" t="s">
        <v>103</v>
      </c>
      <c r="Y471" s="2" t="s">
        <v>1665</v>
      </c>
      <c r="Z471" s="4">
        <v>566</v>
      </c>
      <c r="AA471" s="4">
        <f>=ROUNDDOWN(35.375,0)</f>
      </c>
      <c r="AB471" s="5">
        <v>16</v>
      </c>
      <c r="AC471" s="2" t="s">
        <v>98</v>
      </c>
      <c r="AD471" s="4"/>
      <c r="AE471" s="4"/>
      <c r="AF471" s="6">
        <v>65</v>
      </c>
      <c r="AG471" s="6"/>
      <c r="AH471" s="7">
        <v>0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98</v>
      </c>
      <c r="BM471" s="7"/>
      <c r="BN471" s="7"/>
      <c r="BO471" s="4"/>
      <c r="BP471" s="8"/>
      <c r="BQ471" s="4"/>
      <c r="BR471" s="8"/>
      <c r="BS471" s="7"/>
      <c r="BT471" s="7"/>
      <c r="BU471" s="2" t="s">
        <v>316</v>
      </c>
      <c r="BV471" s="2" t="s">
        <v>95</v>
      </c>
      <c r="BW471" s="2" t="s">
        <v>98</v>
      </c>
      <c r="BX471" s="2" t="s">
        <v>98</v>
      </c>
      <c r="BY471" s="2" t="s">
        <v>111</v>
      </c>
    </row>
    <row r="472">
      <c r="A472" s="2" t="s">
        <v>1666</v>
      </c>
      <c r="B472" s="2" t="s">
        <v>86</v>
      </c>
      <c r="C472" s="2" t="s">
        <v>87</v>
      </c>
      <c r="D472" s="2" t="s">
        <v>88</v>
      </c>
      <c r="E472" s="2" t="s">
        <v>1597</v>
      </c>
      <c r="F472" s="2" t="s">
        <v>1667</v>
      </c>
      <c r="G472" s="2" t="s">
        <v>1668</v>
      </c>
      <c r="H472" s="2" t="s">
        <v>1669</v>
      </c>
      <c r="I472" s="2" t="s">
        <v>1670</v>
      </c>
      <c r="J472" s="2" t="s">
        <v>809</v>
      </c>
      <c r="K472" s="2" t="s">
        <v>458</v>
      </c>
      <c r="L472" s="3">
        <v>18.06</v>
      </c>
      <c r="M472" s="3">
        <v>18.96</v>
      </c>
      <c r="N472" s="3">
        <v>42.99</v>
      </c>
      <c r="O472" s="2" t="s">
        <v>368</v>
      </c>
      <c r="P472" s="2" t="s">
        <v>215</v>
      </c>
      <c r="Q472" s="2" t="s">
        <v>97</v>
      </c>
      <c r="R472" s="2" t="s">
        <v>98</v>
      </c>
      <c r="S472" s="2" t="s">
        <v>1671</v>
      </c>
      <c r="T472" s="2" t="s">
        <v>1672</v>
      </c>
      <c r="U472" s="2" t="s">
        <v>1494</v>
      </c>
      <c r="V472" s="2" t="s">
        <v>334</v>
      </c>
      <c r="W472" s="2" t="s">
        <v>335</v>
      </c>
      <c r="X472" s="2" t="s">
        <v>98</v>
      </c>
      <c r="Y472" s="2" t="s">
        <v>1673</v>
      </c>
      <c r="Z472" s="4"/>
      <c r="AA472" s="4">
        <f>=ROUNDDOWN({0},0)</f>
      </c>
      <c r="AB472" s="5">
        <v>4.9</v>
      </c>
      <c r="AC472" s="2" t="s">
        <v>98</v>
      </c>
      <c r="AD472" s="4"/>
      <c r="AE472" s="4"/>
      <c r="AF472" s="6"/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50</v>
      </c>
      <c r="BK472" s="8">
        <v>881.84</v>
      </c>
      <c r="BL472" s="2" t="s">
        <v>1674</v>
      </c>
      <c r="BM472" s="7"/>
      <c r="BN472" s="7"/>
      <c r="BO472" s="4"/>
      <c r="BP472" s="8"/>
      <c r="BQ472" s="4"/>
      <c r="BR472" s="8"/>
      <c r="BS472" s="7"/>
      <c r="BT472" s="7"/>
      <c r="BU472" s="2" t="s">
        <v>316</v>
      </c>
      <c r="BV472" s="2" t="s">
        <v>95</v>
      </c>
      <c r="BW472" s="2" t="s">
        <v>524</v>
      </c>
      <c r="BX472" s="2" t="s">
        <v>98</v>
      </c>
      <c r="BY472" s="2" t="s">
        <v>354</v>
      </c>
    </row>
    <row r="473">
      <c r="A473" s="2" t="s">
        <v>1675</v>
      </c>
      <c r="B473" s="2" t="s">
        <v>86</v>
      </c>
      <c r="C473" s="2" t="s">
        <v>87</v>
      </c>
      <c r="D473" s="2" t="s">
        <v>88</v>
      </c>
      <c r="E473" s="2" t="s">
        <v>1676</v>
      </c>
      <c r="F473" s="2" t="s">
        <v>1501</v>
      </c>
      <c r="G473" s="2" t="s">
        <v>1502</v>
      </c>
      <c r="H473" s="2" t="s">
        <v>1430</v>
      </c>
      <c r="I473" s="2" t="s">
        <v>1677</v>
      </c>
      <c r="J473" s="2" t="s">
        <v>1678</v>
      </c>
      <c r="K473" s="2" t="s">
        <v>997</v>
      </c>
      <c r="L473" s="3">
        <v>15.05</v>
      </c>
      <c r="M473" s="3">
        <v>15.8</v>
      </c>
      <c r="N473" s="3">
        <v>34.99</v>
      </c>
      <c r="O473" s="2" t="s">
        <v>95</v>
      </c>
      <c r="P473" s="2" t="s">
        <v>150</v>
      </c>
      <c r="Q473" s="2" t="s">
        <v>97</v>
      </c>
      <c r="R473" s="2" t="s">
        <v>98</v>
      </c>
      <c r="S473" s="2" t="s">
        <v>1531</v>
      </c>
      <c r="T473" s="2" t="s">
        <v>98</v>
      </c>
      <c r="U473" s="2" t="s">
        <v>98</v>
      </c>
      <c r="V473" s="2" t="s">
        <v>101</v>
      </c>
      <c r="W473" s="2" t="s">
        <v>335</v>
      </c>
      <c r="X473" s="2" t="s">
        <v>98</v>
      </c>
      <c r="Y473" s="2" t="s">
        <v>1506</v>
      </c>
      <c r="Z473" s="4">
        <v>318</v>
      </c>
      <c r="AA473" s="4">
        <f>=ROUNDDOWN(15.9,0)</f>
      </c>
      <c r="AB473" s="5">
        <v>20</v>
      </c>
      <c r="AC473" s="2" t="s">
        <v>250</v>
      </c>
      <c r="AD473" s="4">
        <v>276</v>
      </c>
      <c r="AE473" s="4">
        <v>796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11</v>
      </c>
      <c r="AQ473" s="8">
        <v>188.65</v>
      </c>
      <c r="AR473" s="4">
        <v>12</v>
      </c>
      <c r="AS473" s="8">
        <v>168.36</v>
      </c>
      <c r="AT473" s="7">
        <v>-0.0833</v>
      </c>
      <c r="AU473" s="7">
        <v>0.1205</v>
      </c>
      <c r="AV473" s="4">
        <v>37</v>
      </c>
      <c r="AW473" s="8">
        <v>773.65</v>
      </c>
      <c r="AX473" s="4">
        <v>39</v>
      </c>
      <c r="AY473" s="8">
        <v>673.53</v>
      </c>
      <c r="AZ473" s="7">
        <v>-0.0513</v>
      </c>
      <c r="BA473" s="7">
        <v>0.1486</v>
      </c>
      <c r="BB473" s="7">
        <v>0.2438</v>
      </c>
      <c r="BC473" s="4">
        <v>175</v>
      </c>
      <c r="BD473" s="8">
        <v>3563</v>
      </c>
      <c r="BE473" s="4">
        <v>600</v>
      </c>
      <c r="BF473" s="8">
        <v>10018.56</v>
      </c>
      <c r="BG473" s="7">
        <v>-0.7083</v>
      </c>
      <c r="BH473" s="7">
        <v>-0.6444</v>
      </c>
      <c r="BI473" s="7">
        <v>0.2171</v>
      </c>
      <c r="BJ473" s="4">
        <v>259</v>
      </c>
      <c r="BK473" s="8">
        <v>4105.35</v>
      </c>
      <c r="BL473" s="2" t="s">
        <v>392</v>
      </c>
      <c r="BM473" s="7">
        <v>0.0425</v>
      </c>
      <c r="BN473" s="7">
        <v>0.046</v>
      </c>
      <c r="BO473" s="4">
        <v>11</v>
      </c>
      <c r="BP473" s="8">
        <v>188.65</v>
      </c>
      <c r="BQ473" s="4">
        <v>12</v>
      </c>
      <c r="BR473" s="8">
        <v>168.36</v>
      </c>
      <c r="BS473" s="7">
        <v>-0.0833</v>
      </c>
      <c r="BT473" s="7">
        <v>0.1205</v>
      </c>
      <c r="BU473" s="2" t="s">
        <v>107</v>
      </c>
      <c r="BV473" s="2" t="s">
        <v>108</v>
      </c>
      <c r="BW473" s="2" t="s">
        <v>1508</v>
      </c>
      <c r="BX473" s="2" t="s">
        <v>370</v>
      </c>
      <c r="BY473" s="2" t="s">
        <v>111</v>
      </c>
    </row>
    <row r="474">
      <c r="A474" s="2" t="s">
        <v>1679</v>
      </c>
      <c r="B474" s="2" t="s">
        <v>86</v>
      </c>
      <c r="C474" s="2" t="s">
        <v>87</v>
      </c>
      <c r="D474" s="2" t="s">
        <v>88</v>
      </c>
      <c r="E474" s="2" t="s">
        <v>1676</v>
      </c>
      <c r="F474" s="2" t="s">
        <v>1501</v>
      </c>
      <c r="G474" s="2" t="s">
        <v>1502</v>
      </c>
      <c r="H474" s="2" t="s">
        <v>1430</v>
      </c>
      <c r="I474" s="2" t="s">
        <v>1677</v>
      </c>
      <c r="J474" s="2" t="s">
        <v>1680</v>
      </c>
      <c r="K474" s="2" t="s">
        <v>997</v>
      </c>
      <c r="L474" s="3">
        <v>20.25</v>
      </c>
      <c r="M474" s="3">
        <v>21.26</v>
      </c>
      <c r="N474" s="3">
        <v>44.99</v>
      </c>
      <c r="O474" s="2" t="s">
        <v>95</v>
      </c>
      <c r="P474" s="2" t="s">
        <v>150</v>
      </c>
      <c r="Q474" s="2" t="s">
        <v>97</v>
      </c>
      <c r="R474" s="2" t="s">
        <v>98</v>
      </c>
      <c r="S474" s="2" t="s">
        <v>1531</v>
      </c>
      <c r="T474" s="2" t="s">
        <v>98</v>
      </c>
      <c r="U474" s="2" t="s">
        <v>98</v>
      </c>
      <c r="V474" s="2" t="s">
        <v>101</v>
      </c>
      <c r="W474" s="2" t="s">
        <v>335</v>
      </c>
      <c r="X474" s="2" t="s">
        <v>98</v>
      </c>
      <c r="Y474" s="2" t="s">
        <v>1506</v>
      </c>
      <c r="Z474" s="4">
        <v>502</v>
      </c>
      <c r="AA474" s="4">
        <f>=ROUNDDOWN(33.4666666666667,0)</f>
      </c>
      <c r="AB474" s="5">
        <v>15</v>
      </c>
      <c r="AC474" s="2" t="s">
        <v>250</v>
      </c>
      <c r="AD474" s="4">
        <v>100</v>
      </c>
      <c r="AE474" s="4">
        <v>200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26</v>
      </c>
      <c r="AQ474" s="8">
        <v>585</v>
      </c>
      <c r="AR474" s="4">
        <v>27</v>
      </c>
      <c r="AS474" s="8">
        <v>505.17</v>
      </c>
      <c r="AT474" s="7">
        <v>-0.037</v>
      </c>
      <c r="AU474" s="7">
        <v>0.158</v>
      </c>
      <c r="AV474" s="4" t="s">
        <v>98</v>
      </c>
      <c r="AW474" s="8" t="s">
        <v>98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>
        <v>0.7562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 t="s">
        <v>98</v>
      </c>
      <c r="BJ474" s="4">
        <v>226</v>
      </c>
      <c r="BK474" s="8">
        <v>4897.95</v>
      </c>
      <c r="BL474" s="2" t="s">
        <v>377</v>
      </c>
      <c r="BM474" s="7">
        <v>0.115</v>
      </c>
      <c r="BN474" s="7">
        <v>0.1194</v>
      </c>
      <c r="BO474" s="4">
        <v>26</v>
      </c>
      <c r="BP474" s="8">
        <v>585</v>
      </c>
      <c r="BQ474" s="4">
        <v>27</v>
      </c>
      <c r="BR474" s="8">
        <v>505.17</v>
      </c>
      <c r="BS474" s="7">
        <v>-0.037</v>
      </c>
      <c r="BT474" s="7">
        <v>0.158</v>
      </c>
      <c r="BU474" s="2" t="s">
        <v>107</v>
      </c>
      <c r="BV474" s="2" t="s">
        <v>108</v>
      </c>
      <c r="BW474" s="2" t="s">
        <v>1508</v>
      </c>
      <c r="BX474" s="2" t="s">
        <v>357</v>
      </c>
      <c r="BY474" s="2" t="s">
        <v>111</v>
      </c>
    </row>
    <row r="475">
      <c r="A475" s="2" t="s">
        <v>1681</v>
      </c>
      <c r="B475" s="2" t="s">
        <v>86</v>
      </c>
      <c r="C475" s="2" t="s">
        <v>87</v>
      </c>
      <c r="D475" s="2" t="s">
        <v>88</v>
      </c>
      <c r="E475" s="2" t="s">
        <v>1676</v>
      </c>
      <c r="F475" s="2" t="s">
        <v>1501</v>
      </c>
      <c r="G475" s="2" t="s">
        <v>1502</v>
      </c>
      <c r="H475" s="2" t="s">
        <v>1430</v>
      </c>
      <c r="I475" s="2" t="s">
        <v>1677</v>
      </c>
      <c r="J475" s="2" t="s">
        <v>1678</v>
      </c>
      <c r="K475" s="2" t="s">
        <v>458</v>
      </c>
      <c r="L475" s="3">
        <v>15.05</v>
      </c>
      <c r="M475" s="3">
        <v>15.8</v>
      </c>
      <c r="N475" s="3">
        <v>34.99</v>
      </c>
      <c r="O475" s="2" t="s">
        <v>95</v>
      </c>
      <c r="P475" s="2" t="s">
        <v>150</v>
      </c>
      <c r="Q475" s="2" t="s">
        <v>97</v>
      </c>
      <c r="R475" s="2" t="s">
        <v>98</v>
      </c>
      <c r="S475" s="2" t="s">
        <v>1538</v>
      </c>
      <c r="T475" s="2" t="s">
        <v>98</v>
      </c>
      <c r="U475" s="2" t="s">
        <v>98</v>
      </c>
      <c r="V475" s="2" t="s">
        <v>101</v>
      </c>
      <c r="W475" s="2" t="s">
        <v>335</v>
      </c>
      <c r="X475" s="2" t="s">
        <v>98</v>
      </c>
      <c r="Y475" s="2" t="s">
        <v>1506</v>
      </c>
      <c r="Z475" s="4"/>
      <c r="AA475" s="4">
        <f>=ROUNDDOWN({0},0)</f>
      </c>
      <c r="AB475" s="5">
        <v>24</v>
      </c>
      <c r="AC475" s="2" t="s">
        <v>376</v>
      </c>
      <c r="AD475" s="4">
        <v>168</v>
      </c>
      <c r="AE475" s="4">
        <v>916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18</v>
      </c>
      <c r="AQ475" s="8">
        <v>308.7</v>
      </c>
      <c r="AR475" s="4">
        <v>72</v>
      </c>
      <c r="AS475" s="8">
        <v>1010.16</v>
      </c>
      <c r="AT475" s="7">
        <v>-0.75</v>
      </c>
      <c r="AU475" s="7">
        <v>-0.6944</v>
      </c>
      <c r="AV475" s="4">
        <v>38</v>
      </c>
      <c r="AW475" s="8">
        <v>758.7</v>
      </c>
      <c r="AX475" s="4">
        <v>110</v>
      </c>
      <c r="AY475" s="8">
        <v>1721.14</v>
      </c>
      <c r="AZ475" s="7">
        <v>-0.6545</v>
      </c>
      <c r="BA475" s="7">
        <v>-0.5592</v>
      </c>
      <c r="BB475" s="7">
        <v>0.4069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0.2129</v>
      </c>
      <c r="BJ475" s="4">
        <v>278</v>
      </c>
      <c r="BK475" s="8">
        <v>4430.11</v>
      </c>
      <c r="BL475" s="2" t="s">
        <v>538</v>
      </c>
      <c r="BM475" s="7">
        <v>0.0647</v>
      </c>
      <c r="BN475" s="7">
        <v>0.0697</v>
      </c>
      <c r="BO475" s="4">
        <v>18</v>
      </c>
      <c r="BP475" s="8">
        <v>308.7</v>
      </c>
      <c r="BQ475" s="4">
        <v>72</v>
      </c>
      <c r="BR475" s="8">
        <v>1010.16</v>
      </c>
      <c r="BS475" s="7">
        <v>-0.75</v>
      </c>
      <c r="BT475" s="7">
        <v>-0.6944</v>
      </c>
      <c r="BU475" s="2" t="s">
        <v>107</v>
      </c>
      <c r="BV475" s="2" t="s">
        <v>108</v>
      </c>
      <c r="BW475" s="2" t="s">
        <v>1508</v>
      </c>
      <c r="BX475" s="2" t="s">
        <v>470</v>
      </c>
      <c r="BY475" s="2" t="s">
        <v>111</v>
      </c>
    </row>
    <row r="476">
      <c r="A476" s="2" t="s">
        <v>1682</v>
      </c>
      <c r="B476" s="2" t="s">
        <v>86</v>
      </c>
      <c r="C476" s="2" t="s">
        <v>87</v>
      </c>
      <c r="D476" s="2" t="s">
        <v>88</v>
      </c>
      <c r="E476" s="2" t="s">
        <v>1676</v>
      </c>
      <c r="F476" s="2" t="s">
        <v>1501</v>
      </c>
      <c r="G476" s="2" t="s">
        <v>1502</v>
      </c>
      <c r="H476" s="2" t="s">
        <v>1430</v>
      </c>
      <c r="I476" s="2" t="s">
        <v>1677</v>
      </c>
      <c r="J476" s="2" t="s">
        <v>1680</v>
      </c>
      <c r="K476" s="2" t="s">
        <v>458</v>
      </c>
      <c r="L476" s="3">
        <v>20.25</v>
      </c>
      <c r="M476" s="3">
        <v>21.26</v>
      </c>
      <c r="N476" s="3">
        <v>44.99</v>
      </c>
      <c r="O476" s="2" t="s">
        <v>95</v>
      </c>
      <c r="P476" s="2" t="s">
        <v>150</v>
      </c>
      <c r="Q476" s="2" t="s">
        <v>97</v>
      </c>
      <c r="R476" s="2" t="s">
        <v>98</v>
      </c>
      <c r="S476" s="2" t="s">
        <v>1538</v>
      </c>
      <c r="T476" s="2" t="s">
        <v>98</v>
      </c>
      <c r="U476" s="2" t="s">
        <v>98</v>
      </c>
      <c r="V476" s="2" t="s">
        <v>101</v>
      </c>
      <c r="W476" s="2" t="s">
        <v>335</v>
      </c>
      <c r="X476" s="2" t="s">
        <v>98</v>
      </c>
      <c r="Y476" s="2" t="s">
        <v>1506</v>
      </c>
      <c r="Z476" s="4">
        <v>109</v>
      </c>
      <c r="AA476" s="4">
        <f>=ROUNDDOWN(10.9,0)</f>
      </c>
      <c r="AB476" s="5">
        <v>10</v>
      </c>
      <c r="AC476" s="2" t="s">
        <v>376</v>
      </c>
      <c r="AD476" s="4">
        <v>52</v>
      </c>
      <c r="AE476" s="4">
        <v>156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20</v>
      </c>
      <c r="AQ476" s="8">
        <v>450</v>
      </c>
      <c r="AR476" s="4">
        <v>38</v>
      </c>
      <c r="AS476" s="8">
        <v>710.98</v>
      </c>
      <c r="AT476" s="7">
        <v>-0.4737</v>
      </c>
      <c r="AU476" s="7">
        <v>-0.3671</v>
      </c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>
        <v>0.5931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 t="s">
        <v>98</v>
      </c>
      <c r="BJ476" s="4">
        <v>202</v>
      </c>
      <c r="BK476" s="8">
        <v>4304.03</v>
      </c>
      <c r="BL476" s="2" t="s">
        <v>538</v>
      </c>
      <c r="BM476" s="7">
        <v>0.099</v>
      </c>
      <c r="BN476" s="7">
        <v>0.1046</v>
      </c>
      <c r="BO476" s="4">
        <v>20</v>
      </c>
      <c r="BP476" s="8">
        <v>450</v>
      </c>
      <c r="BQ476" s="4">
        <v>38</v>
      </c>
      <c r="BR476" s="8">
        <v>710.98</v>
      </c>
      <c r="BS476" s="7">
        <v>-0.4737</v>
      </c>
      <c r="BT476" s="7">
        <v>-0.3671</v>
      </c>
      <c r="BU476" s="2" t="s">
        <v>107</v>
      </c>
      <c r="BV476" s="2" t="s">
        <v>108</v>
      </c>
      <c r="BW476" s="2" t="s">
        <v>1508</v>
      </c>
      <c r="BX476" s="2" t="s">
        <v>443</v>
      </c>
      <c r="BY476" s="2" t="s">
        <v>111</v>
      </c>
    </row>
    <row r="477">
      <c r="A477" s="2" t="s">
        <v>1683</v>
      </c>
      <c r="B477" s="2" t="s">
        <v>86</v>
      </c>
      <c r="C477" s="2" t="s">
        <v>87</v>
      </c>
      <c r="D477" s="2" t="s">
        <v>88</v>
      </c>
      <c r="E477" s="2" t="s">
        <v>1676</v>
      </c>
      <c r="F477" s="2" t="s">
        <v>1501</v>
      </c>
      <c r="G477" s="2" t="s">
        <v>1502</v>
      </c>
      <c r="H477" s="2" t="s">
        <v>1430</v>
      </c>
      <c r="I477" s="2" t="s">
        <v>1677</v>
      </c>
      <c r="J477" s="2" t="s">
        <v>1678</v>
      </c>
      <c r="K477" s="2" t="s">
        <v>1504</v>
      </c>
      <c r="L477" s="3">
        <v>15.05</v>
      </c>
      <c r="M477" s="3">
        <v>15.8</v>
      </c>
      <c r="N477" s="3">
        <v>34.99</v>
      </c>
      <c r="O477" s="2" t="s">
        <v>95</v>
      </c>
      <c r="P477" s="2" t="s">
        <v>129</v>
      </c>
      <c r="Q477" s="2" t="s">
        <v>97</v>
      </c>
      <c r="R477" s="2" t="s">
        <v>98</v>
      </c>
      <c r="S477" s="2" t="s">
        <v>1505</v>
      </c>
      <c r="T477" s="2" t="s">
        <v>98</v>
      </c>
      <c r="U477" s="2" t="s">
        <v>98</v>
      </c>
      <c r="V477" s="2" t="s">
        <v>101</v>
      </c>
      <c r="W477" s="2" t="s">
        <v>335</v>
      </c>
      <c r="X477" s="2" t="s">
        <v>98</v>
      </c>
      <c r="Y477" s="2" t="s">
        <v>1506</v>
      </c>
      <c r="Z477" s="4">
        <v>73</v>
      </c>
      <c r="AA477" s="4">
        <f>=ROUNDDOWN(3.8421052631579,0)</f>
      </c>
      <c r="AB477" s="5">
        <v>19</v>
      </c>
      <c r="AC477" s="2" t="s">
        <v>376</v>
      </c>
      <c r="AD477" s="4">
        <v>304</v>
      </c>
      <c r="AE477" s="4">
        <v>564</v>
      </c>
      <c r="AF477" s="6">
        <v>65</v>
      </c>
      <c r="AG477" s="6"/>
      <c r="AH477" s="7">
        <v>1</v>
      </c>
      <c r="AI477" s="4">
        <v>1</v>
      </c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12</v>
      </c>
      <c r="AQ477" s="8">
        <v>205.8</v>
      </c>
      <c r="AR477" s="4">
        <v>57</v>
      </c>
      <c r="AS477" s="8">
        <v>799.71</v>
      </c>
      <c r="AT477" s="7">
        <v>-0.7895</v>
      </c>
      <c r="AU477" s="7">
        <v>-0.7427</v>
      </c>
      <c r="AV477" s="4">
        <v>32</v>
      </c>
      <c r="AW477" s="8">
        <v>655.8</v>
      </c>
      <c r="AX477" s="4">
        <v>140</v>
      </c>
      <c r="AY477" s="8">
        <v>2352.64</v>
      </c>
      <c r="AZ477" s="7">
        <v>-0.7714</v>
      </c>
      <c r="BA477" s="7">
        <v>-0.7212</v>
      </c>
      <c r="BB477" s="7">
        <v>0.3138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0.1841</v>
      </c>
      <c r="BJ477" s="4">
        <v>274</v>
      </c>
      <c r="BK477" s="8">
        <v>4340.58</v>
      </c>
      <c r="BL477" s="2" t="s">
        <v>466</v>
      </c>
      <c r="BM477" s="7">
        <v>0.0438</v>
      </c>
      <c r="BN477" s="7">
        <v>0.0474</v>
      </c>
      <c r="BO477" s="4">
        <v>12</v>
      </c>
      <c r="BP477" s="8">
        <v>205.8</v>
      </c>
      <c r="BQ477" s="4">
        <v>57</v>
      </c>
      <c r="BR477" s="8">
        <v>799.71</v>
      </c>
      <c r="BS477" s="7">
        <v>-0.7895</v>
      </c>
      <c r="BT477" s="7">
        <v>-0.7427</v>
      </c>
      <c r="BU477" s="2" t="s">
        <v>107</v>
      </c>
      <c r="BV477" s="2" t="s">
        <v>108</v>
      </c>
      <c r="BW477" s="2" t="s">
        <v>1508</v>
      </c>
      <c r="BX477" s="2" t="s">
        <v>390</v>
      </c>
      <c r="BY477" s="2" t="s">
        <v>111</v>
      </c>
    </row>
    <row r="478">
      <c r="A478" s="2" t="s">
        <v>1684</v>
      </c>
      <c r="B478" s="2" t="s">
        <v>86</v>
      </c>
      <c r="C478" s="2" t="s">
        <v>87</v>
      </c>
      <c r="D478" s="2" t="s">
        <v>88</v>
      </c>
      <c r="E478" s="2" t="s">
        <v>1676</v>
      </c>
      <c r="F478" s="2" t="s">
        <v>1501</v>
      </c>
      <c r="G478" s="2" t="s">
        <v>1502</v>
      </c>
      <c r="H478" s="2" t="s">
        <v>1430</v>
      </c>
      <c r="I478" s="2" t="s">
        <v>1677</v>
      </c>
      <c r="J478" s="2" t="s">
        <v>1680</v>
      </c>
      <c r="K478" s="2" t="s">
        <v>1504</v>
      </c>
      <c r="L478" s="3">
        <v>20.25</v>
      </c>
      <c r="M478" s="3">
        <v>21.26</v>
      </c>
      <c r="N478" s="3">
        <v>44.99</v>
      </c>
      <c r="O478" s="2" t="s">
        <v>95</v>
      </c>
      <c r="P478" s="2" t="s">
        <v>129</v>
      </c>
      <c r="Q478" s="2" t="s">
        <v>97</v>
      </c>
      <c r="R478" s="2" t="s">
        <v>98</v>
      </c>
      <c r="S478" s="2" t="s">
        <v>1505</v>
      </c>
      <c r="T478" s="2" t="s">
        <v>98</v>
      </c>
      <c r="U478" s="2" t="s">
        <v>98</v>
      </c>
      <c r="V478" s="2" t="s">
        <v>101</v>
      </c>
      <c r="W478" s="2" t="s">
        <v>335</v>
      </c>
      <c r="X478" s="2" t="s">
        <v>98</v>
      </c>
      <c r="Y478" s="2" t="s">
        <v>1506</v>
      </c>
      <c r="Z478" s="4">
        <v>137</v>
      </c>
      <c r="AA478" s="4">
        <f>=ROUNDDOWN(8.5625,0)</f>
      </c>
      <c r="AB478" s="5">
        <v>16</v>
      </c>
      <c r="AC478" s="2" t="s">
        <v>376</v>
      </c>
      <c r="AD478" s="4">
        <v>92</v>
      </c>
      <c r="AE478" s="4">
        <v>440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20</v>
      </c>
      <c r="AQ478" s="8">
        <v>450</v>
      </c>
      <c r="AR478" s="4">
        <v>83</v>
      </c>
      <c r="AS478" s="8">
        <v>1552.93</v>
      </c>
      <c r="AT478" s="7">
        <v>-0.759</v>
      </c>
      <c r="AU478" s="7">
        <v>-0.7102</v>
      </c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>
        <v>0.6862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 t="s">
        <v>98</v>
      </c>
      <c r="BJ478" s="4">
        <v>195</v>
      </c>
      <c r="BK478" s="8">
        <v>4110.76</v>
      </c>
      <c r="BL478" s="2" t="s">
        <v>1685</v>
      </c>
      <c r="BM478" s="7">
        <v>0.1026</v>
      </c>
      <c r="BN478" s="7">
        <v>0.1095</v>
      </c>
      <c r="BO478" s="4">
        <v>20</v>
      </c>
      <c r="BP478" s="8">
        <v>450</v>
      </c>
      <c r="BQ478" s="4">
        <v>83</v>
      </c>
      <c r="BR478" s="8">
        <v>1552.93</v>
      </c>
      <c r="BS478" s="7">
        <v>-0.759</v>
      </c>
      <c r="BT478" s="7">
        <v>-0.7102</v>
      </c>
      <c r="BU478" s="2" t="s">
        <v>107</v>
      </c>
      <c r="BV478" s="2" t="s">
        <v>108</v>
      </c>
      <c r="BW478" s="2" t="s">
        <v>1508</v>
      </c>
      <c r="BX478" s="2" t="s">
        <v>1686</v>
      </c>
      <c r="BY478" s="2" t="s">
        <v>111</v>
      </c>
    </row>
    <row r="479">
      <c r="A479" s="2" t="s">
        <v>1687</v>
      </c>
      <c r="B479" s="2" t="s">
        <v>86</v>
      </c>
      <c r="C479" s="2" t="s">
        <v>87</v>
      </c>
      <c r="D479" s="2" t="s">
        <v>88</v>
      </c>
      <c r="E479" s="2" t="s">
        <v>1676</v>
      </c>
      <c r="F479" s="2" t="s">
        <v>1501</v>
      </c>
      <c r="G479" s="2" t="s">
        <v>1502</v>
      </c>
      <c r="H479" s="2" t="s">
        <v>1430</v>
      </c>
      <c r="I479" s="2" t="s">
        <v>1677</v>
      </c>
      <c r="J479" s="2" t="s">
        <v>1678</v>
      </c>
      <c r="K479" s="2" t="s">
        <v>551</v>
      </c>
      <c r="L479" s="3">
        <v>15.05</v>
      </c>
      <c r="M479" s="3">
        <v>15.8</v>
      </c>
      <c r="N479" s="3">
        <v>34.99</v>
      </c>
      <c r="O479" s="2" t="s">
        <v>95</v>
      </c>
      <c r="P479" s="2" t="s">
        <v>215</v>
      </c>
      <c r="Q479" s="2" t="s">
        <v>97</v>
      </c>
      <c r="R479" s="2" t="s">
        <v>98</v>
      </c>
      <c r="S479" s="2" t="s">
        <v>1546</v>
      </c>
      <c r="T479" s="2" t="s">
        <v>98</v>
      </c>
      <c r="U479" s="2" t="s">
        <v>98</v>
      </c>
      <c r="V479" s="2" t="s">
        <v>101</v>
      </c>
      <c r="W479" s="2" t="s">
        <v>335</v>
      </c>
      <c r="X479" s="2" t="s">
        <v>98</v>
      </c>
      <c r="Y479" s="2" t="s">
        <v>1506</v>
      </c>
      <c r="Z479" s="4">
        <v>139</v>
      </c>
      <c r="AA479" s="4">
        <f>=ROUNDDOWN(9.26666666666667,0)</f>
      </c>
      <c r="AB479" s="5">
        <v>15</v>
      </c>
      <c r="AC479" s="2" t="s">
        <v>707</v>
      </c>
      <c r="AD479" s="4">
        <v>36</v>
      </c>
      <c r="AE479" s="4">
        <v>440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14</v>
      </c>
      <c r="AQ479" s="8">
        <v>240.1</v>
      </c>
      <c r="AR479" s="4">
        <v>41</v>
      </c>
      <c r="AS479" s="8">
        <v>575.23</v>
      </c>
      <c r="AT479" s="7">
        <v>-0.6585</v>
      </c>
      <c r="AU479" s="7">
        <v>-0.5826</v>
      </c>
      <c r="AV479" s="4">
        <v>29</v>
      </c>
      <c r="AW479" s="8">
        <v>577.6</v>
      </c>
      <c r="AX479" s="4">
        <v>109</v>
      </c>
      <c r="AY479" s="8">
        <v>1847.51</v>
      </c>
      <c r="AZ479" s="7">
        <v>-0.7339</v>
      </c>
      <c r="BA479" s="7">
        <v>-0.6874</v>
      </c>
      <c r="BB479" s="7">
        <v>0.4157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0.1621</v>
      </c>
      <c r="BJ479" s="4">
        <v>181</v>
      </c>
      <c r="BK479" s="8">
        <v>2872.52</v>
      </c>
      <c r="BL479" s="2" t="s">
        <v>1688</v>
      </c>
      <c r="BM479" s="7">
        <v>0.0773</v>
      </c>
      <c r="BN479" s="7">
        <v>0.0836</v>
      </c>
      <c r="BO479" s="4">
        <v>14</v>
      </c>
      <c r="BP479" s="8">
        <v>240.1</v>
      </c>
      <c r="BQ479" s="4">
        <v>41</v>
      </c>
      <c r="BR479" s="8">
        <v>575.23</v>
      </c>
      <c r="BS479" s="7">
        <v>-0.6585</v>
      </c>
      <c r="BT479" s="7">
        <v>-0.5826</v>
      </c>
      <c r="BU479" s="2" t="s">
        <v>107</v>
      </c>
      <c r="BV479" s="2" t="s">
        <v>108</v>
      </c>
      <c r="BW479" s="2" t="s">
        <v>1508</v>
      </c>
      <c r="BX479" s="2" t="s">
        <v>646</v>
      </c>
      <c r="BY479" s="2" t="s">
        <v>111</v>
      </c>
    </row>
    <row r="480">
      <c r="A480" s="2" t="s">
        <v>1689</v>
      </c>
      <c r="B480" s="2" t="s">
        <v>86</v>
      </c>
      <c r="C480" s="2" t="s">
        <v>87</v>
      </c>
      <c r="D480" s="2" t="s">
        <v>88</v>
      </c>
      <c r="E480" s="2" t="s">
        <v>1676</v>
      </c>
      <c r="F480" s="2" t="s">
        <v>1501</v>
      </c>
      <c r="G480" s="2" t="s">
        <v>1502</v>
      </c>
      <c r="H480" s="2" t="s">
        <v>1430</v>
      </c>
      <c r="I480" s="2" t="s">
        <v>1677</v>
      </c>
      <c r="J480" s="2" t="s">
        <v>1680</v>
      </c>
      <c r="K480" s="2" t="s">
        <v>551</v>
      </c>
      <c r="L480" s="3">
        <v>20.25</v>
      </c>
      <c r="M480" s="3">
        <v>21.26</v>
      </c>
      <c r="N480" s="3">
        <v>44.99</v>
      </c>
      <c r="O480" s="2" t="s">
        <v>95</v>
      </c>
      <c r="P480" s="2" t="s">
        <v>215</v>
      </c>
      <c r="Q480" s="2" t="s">
        <v>97</v>
      </c>
      <c r="R480" s="2" t="s">
        <v>98</v>
      </c>
      <c r="S480" s="2" t="s">
        <v>1546</v>
      </c>
      <c r="T480" s="2" t="s">
        <v>98</v>
      </c>
      <c r="U480" s="2" t="s">
        <v>98</v>
      </c>
      <c r="V480" s="2" t="s">
        <v>101</v>
      </c>
      <c r="W480" s="2" t="s">
        <v>335</v>
      </c>
      <c r="X480" s="2" t="s">
        <v>98</v>
      </c>
      <c r="Y480" s="2" t="s">
        <v>1506</v>
      </c>
      <c r="Z480" s="4">
        <v>250</v>
      </c>
      <c r="AA480" s="4">
        <f>=ROUNDDOWN(25,0)</f>
      </c>
      <c r="AB480" s="5">
        <v>10</v>
      </c>
      <c r="AC480" s="2" t="s">
        <v>158</v>
      </c>
      <c r="AD480" s="4">
        <v>148</v>
      </c>
      <c r="AE480" s="4">
        <v>148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15</v>
      </c>
      <c r="AQ480" s="8">
        <v>337.5</v>
      </c>
      <c r="AR480" s="4">
        <v>68</v>
      </c>
      <c r="AS480" s="8">
        <v>1272.28</v>
      </c>
      <c r="AT480" s="7">
        <v>-0.7794</v>
      </c>
      <c r="AU480" s="7">
        <v>-0.7347</v>
      </c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>
        <v>0.5843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 t="s">
        <v>98</v>
      </c>
      <c r="BJ480" s="4">
        <v>161</v>
      </c>
      <c r="BK480" s="8">
        <v>3460.54</v>
      </c>
      <c r="BL480" s="2" t="s">
        <v>342</v>
      </c>
      <c r="BM480" s="7">
        <v>0.0932</v>
      </c>
      <c r="BN480" s="7">
        <v>0.0975</v>
      </c>
      <c r="BO480" s="4">
        <v>15</v>
      </c>
      <c r="BP480" s="8">
        <v>337.5</v>
      </c>
      <c r="BQ480" s="4">
        <v>68</v>
      </c>
      <c r="BR480" s="8">
        <v>1272.28</v>
      </c>
      <c r="BS480" s="7">
        <v>-0.7794</v>
      </c>
      <c r="BT480" s="7">
        <v>-0.7347</v>
      </c>
      <c r="BU480" s="2" t="s">
        <v>107</v>
      </c>
      <c r="BV480" s="2" t="s">
        <v>108</v>
      </c>
      <c r="BW480" s="2" t="s">
        <v>1508</v>
      </c>
      <c r="BX480" s="2" t="s">
        <v>1524</v>
      </c>
      <c r="BY480" s="2" t="s">
        <v>111</v>
      </c>
    </row>
    <row r="481">
      <c r="A481" s="2" t="s">
        <v>1690</v>
      </c>
      <c r="B481" s="2" t="s">
        <v>86</v>
      </c>
      <c r="C481" s="2" t="s">
        <v>87</v>
      </c>
      <c r="D481" s="2" t="s">
        <v>88</v>
      </c>
      <c r="E481" s="2" t="s">
        <v>1676</v>
      </c>
      <c r="F481" s="2" t="s">
        <v>1501</v>
      </c>
      <c r="G481" s="2" t="s">
        <v>1502</v>
      </c>
      <c r="H481" s="2" t="s">
        <v>1430</v>
      </c>
      <c r="I481" s="2" t="s">
        <v>1677</v>
      </c>
      <c r="J481" s="2" t="s">
        <v>1678</v>
      </c>
      <c r="K481" s="2" t="s">
        <v>94</v>
      </c>
      <c r="L481" s="3">
        <v>15.05</v>
      </c>
      <c r="M481" s="3">
        <v>15.8</v>
      </c>
      <c r="N481" s="3">
        <v>34.99</v>
      </c>
      <c r="O481" s="2" t="s">
        <v>95</v>
      </c>
      <c r="P481" s="2" t="s">
        <v>150</v>
      </c>
      <c r="Q481" s="2" t="s">
        <v>97</v>
      </c>
      <c r="R481" s="2" t="s">
        <v>98</v>
      </c>
      <c r="S481" s="2" t="s">
        <v>1522</v>
      </c>
      <c r="T481" s="2" t="s">
        <v>98</v>
      </c>
      <c r="U481" s="2" t="s">
        <v>98</v>
      </c>
      <c r="V481" s="2" t="s">
        <v>101</v>
      </c>
      <c r="W481" s="2" t="s">
        <v>335</v>
      </c>
      <c r="X481" s="2" t="s">
        <v>98</v>
      </c>
      <c r="Y481" s="2" t="s">
        <v>1506</v>
      </c>
      <c r="Z481" s="4">
        <v>155</v>
      </c>
      <c r="AA481" s="4">
        <f>=ROUNDDOWN(6.45833333333333,0)</f>
      </c>
      <c r="AB481" s="5">
        <v>24</v>
      </c>
      <c r="AC481" s="2" t="s">
        <v>253</v>
      </c>
      <c r="AD481" s="4">
        <v>300</v>
      </c>
      <c r="AE481" s="4">
        <v>664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14</v>
      </c>
      <c r="AQ481" s="8">
        <v>240.1</v>
      </c>
      <c r="AR481" s="4">
        <v>30</v>
      </c>
      <c r="AS481" s="8">
        <v>420.9</v>
      </c>
      <c r="AT481" s="7">
        <v>-0.5333</v>
      </c>
      <c r="AU481" s="7">
        <v>-0.4296</v>
      </c>
      <c r="AV481" s="4">
        <v>24</v>
      </c>
      <c r="AW481" s="8">
        <v>465.1</v>
      </c>
      <c r="AX481" s="4">
        <v>115</v>
      </c>
      <c r="AY481" s="8">
        <v>2011.25</v>
      </c>
      <c r="AZ481" s="7">
        <v>-0.7913</v>
      </c>
      <c r="BA481" s="7">
        <v>-0.7688</v>
      </c>
      <c r="BB481" s="7">
        <v>0.5162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0.1305</v>
      </c>
      <c r="BJ481" s="4">
        <v>243</v>
      </c>
      <c r="BK481" s="8">
        <v>3798.24</v>
      </c>
      <c r="BL481" s="2" t="s">
        <v>405</v>
      </c>
      <c r="BM481" s="7">
        <v>0.0576</v>
      </c>
      <c r="BN481" s="7">
        <v>0.0632</v>
      </c>
      <c r="BO481" s="4">
        <v>14</v>
      </c>
      <c r="BP481" s="8">
        <v>240.1</v>
      </c>
      <c r="BQ481" s="4">
        <v>30</v>
      </c>
      <c r="BR481" s="8">
        <v>420.9</v>
      </c>
      <c r="BS481" s="7">
        <v>-0.5333</v>
      </c>
      <c r="BT481" s="7">
        <v>-0.4296</v>
      </c>
      <c r="BU481" s="2" t="s">
        <v>107</v>
      </c>
      <c r="BV481" s="2" t="s">
        <v>108</v>
      </c>
      <c r="BW481" s="2" t="s">
        <v>1508</v>
      </c>
      <c r="BX481" s="2" t="s">
        <v>1691</v>
      </c>
      <c r="BY481" s="2" t="s">
        <v>111</v>
      </c>
    </row>
    <row r="482">
      <c r="A482" s="2" t="s">
        <v>1692</v>
      </c>
      <c r="B482" s="2" t="s">
        <v>86</v>
      </c>
      <c r="C482" s="2" t="s">
        <v>87</v>
      </c>
      <c r="D482" s="2" t="s">
        <v>88</v>
      </c>
      <c r="E482" s="2" t="s">
        <v>1676</v>
      </c>
      <c r="F482" s="2" t="s">
        <v>1501</v>
      </c>
      <c r="G482" s="2" t="s">
        <v>1502</v>
      </c>
      <c r="H482" s="2" t="s">
        <v>1430</v>
      </c>
      <c r="I482" s="2" t="s">
        <v>1677</v>
      </c>
      <c r="J482" s="2" t="s">
        <v>1680</v>
      </c>
      <c r="K482" s="2" t="s">
        <v>94</v>
      </c>
      <c r="L482" s="3">
        <v>20.25</v>
      </c>
      <c r="M482" s="3">
        <v>21.26</v>
      </c>
      <c r="N482" s="3">
        <v>44.99</v>
      </c>
      <c r="O482" s="2" t="s">
        <v>95</v>
      </c>
      <c r="P482" s="2" t="s">
        <v>150</v>
      </c>
      <c r="Q482" s="2" t="s">
        <v>97</v>
      </c>
      <c r="R482" s="2" t="s">
        <v>98</v>
      </c>
      <c r="S482" s="2" t="s">
        <v>1522</v>
      </c>
      <c r="T482" s="2" t="s">
        <v>98</v>
      </c>
      <c r="U482" s="2" t="s">
        <v>98</v>
      </c>
      <c r="V482" s="2" t="s">
        <v>101</v>
      </c>
      <c r="W482" s="2" t="s">
        <v>335</v>
      </c>
      <c r="X482" s="2" t="s">
        <v>98</v>
      </c>
      <c r="Y482" s="2" t="s">
        <v>1506</v>
      </c>
      <c r="Z482" s="4">
        <v>133</v>
      </c>
      <c r="AA482" s="4">
        <f>=ROUNDDOWN(8.86666666666667,0)</f>
      </c>
      <c r="AB482" s="5">
        <v>15</v>
      </c>
      <c r="AC482" s="2" t="s">
        <v>253</v>
      </c>
      <c r="AD482" s="4">
        <v>256</v>
      </c>
      <c r="AE482" s="4">
        <v>412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10</v>
      </c>
      <c r="AQ482" s="8">
        <v>225</v>
      </c>
      <c r="AR482" s="4">
        <v>85</v>
      </c>
      <c r="AS482" s="8">
        <v>1590.35</v>
      </c>
      <c r="AT482" s="7">
        <v>-0.8824</v>
      </c>
      <c r="AU482" s="7">
        <v>-0.8585</v>
      </c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0.4838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 t="s">
        <v>98</v>
      </c>
      <c r="BJ482" s="4">
        <v>135</v>
      </c>
      <c r="BK482" s="8">
        <v>2863.44</v>
      </c>
      <c r="BL482" s="2" t="s">
        <v>377</v>
      </c>
      <c r="BM482" s="7">
        <v>0.0741</v>
      </c>
      <c r="BN482" s="7">
        <v>0.0786</v>
      </c>
      <c r="BO482" s="4">
        <v>10</v>
      </c>
      <c r="BP482" s="8">
        <v>225</v>
      </c>
      <c r="BQ482" s="4">
        <v>85</v>
      </c>
      <c r="BR482" s="8">
        <v>1590.35</v>
      </c>
      <c r="BS482" s="7">
        <v>-0.8824</v>
      </c>
      <c r="BT482" s="7">
        <v>-0.8585</v>
      </c>
      <c r="BU482" s="2" t="s">
        <v>107</v>
      </c>
      <c r="BV482" s="2" t="s">
        <v>108</v>
      </c>
      <c r="BW482" s="2" t="s">
        <v>1508</v>
      </c>
      <c r="BX482" s="2" t="s">
        <v>1472</v>
      </c>
      <c r="BY482" s="2" t="s">
        <v>111</v>
      </c>
    </row>
    <row r="483">
      <c r="A483" s="2" t="s">
        <v>1693</v>
      </c>
      <c r="B483" s="2" t="s">
        <v>86</v>
      </c>
      <c r="C483" s="2" t="s">
        <v>87</v>
      </c>
      <c r="D483" s="2" t="s">
        <v>88</v>
      </c>
      <c r="E483" s="2" t="s">
        <v>1676</v>
      </c>
      <c r="F483" s="2" t="s">
        <v>1501</v>
      </c>
      <c r="G483" s="2" t="s">
        <v>1502</v>
      </c>
      <c r="H483" s="2" t="s">
        <v>1430</v>
      </c>
      <c r="I483" s="2" t="s">
        <v>1677</v>
      </c>
      <c r="J483" s="2" t="s">
        <v>1678</v>
      </c>
      <c r="K483" s="2" t="s">
        <v>214</v>
      </c>
      <c r="L483" s="3">
        <v>15.05</v>
      </c>
      <c r="M483" s="3">
        <v>15.8</v>
      </c>
      <c r="N483" s="3">
        <v>34.99</v>
      </c>
      <c r="O483" s="2" t="s">
        <v>95</v>
      </c>
      <c r="P483" s="2" t="s">
        <v>215</v>
      </c>
      <c r="Q483" s="2" t="s">
        <v>97</v>
      </c>
      <c r="R483" s="2" t="s">
        <v>98</v>
      </c>
      <c r="S483" s="2" t="s">
        <v>1553</v>
      </c>
      <c r="T483" s="2" t="s">
        <v>98</v>
      </c>
      <c r="U483" s="2" t="s">
        <v>98</v>
      </c>
      <c r="V483" s="2" t="s">
        <v>101</v>
      </c>
      <c r="W483" s="2" t="s">
        <v>335</v>
      </c>
      <c r="X483" s="2" t="s">
        <v>98</v>
      </c>
      <c r="Y483" s="2" t="s">
        <v>1506</v>
      </c>
      <c r="Z483" s="4">
        <v>26</v>
      </c>
      <c r="AA483" s="4">
        <f>=ROUNDDOWN(2.6,0)</f>
      </c>
      <c r="AB483" s="5">
        <v>10</v>
      </c>
      <c r="AC483" s="2" t="s">
        <v>98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1</v>
      </c>
      <c r="AQ483" s="8">
        <v>17.15</v>
      </c>
      <c r="AR483" s="4">
        <v>46</v>
      </c>
      <c r="AS483" s="8">
        <v>645.38</v>
      </c>
      <c r="AT483" s="7">
        <v>-0.9783</v>
      </c>
      <c r="AU483" s="7">
        <v>-0.9734</v>
      </c>
      <c r="AV483" s="4">
        <v>15</v>
      </c>
      <c r="AW483" s="8">
        <v>332.15</v>
      </c>
      <c r="AX483" s="4">
        <v>87</v>
      </c>
      <c r="AY483" s="8">
        <v>1412.49</v>
      </c>
      <c r="AZ483" s="7">
        <v>-0.8276</v>
      </c>
      <c r="BA483" s="7">
        <v>-0.7648</v>
      </c>
      <c r="BB483" s="7">
        <v>0.0516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0.0932</v>
      </c>
      <c r="BJ483" s="4">
        <v>144</v>
      </c>
      <c r="BK483" s="8">
        <v>2290.91</v>
      </c>
      <c r="BL483" s="2" t="s">
        <v>1694</v>
      </c>
      <c r="BM483" s="7">
        <v>0.0069</v>
      </c>
      <c r="BN483" s="7">
        <v>0.0075</v>
      </c>
      <c r="BO483" s="4">
        <v>1</v>
      </c>
      <c r="BP483" s="8">
        <v>17.15</v>
      </c>
      <c r="BQ483" s="4">
        <v>46</v>
      </c>
      <c r="BR483" s="8">
        <v>645.38</v>
      </c>
      <c r="BS483" s="7">
        <v>-0.9783</v>
      </c>
      <c r="BT483" s="7">
        <v>-0.9734</v>
      </c>
      <c r="BU483" s="2" t="s">
        <v>107</v>
      </c>
      <c r="BV483" s="2" t="s">
        <v>108</v>
      </c>
      <c r="BW483" s="2" t="s">
        <v>1508</v>
      </c>
      <c r="BX483" s="2" t="s">
        <v>1557</v>
      </c>
      <c r="BY483" s="2" t="s">
        <v>111</v>
      </c>
    </row>
    <row r="484">
      <c r="A484" s="2" t="s">
        <v>1695</v>
      </c>
      <c r="B484" s="2" t="s">
        <v>86</v>
      </c>
      <c r="C484" s="2" t="s">
        <v>87</v>
      </c>
      <c r="D484" s="2" t="s">
        <v>88</v>
      </c>
      <c r="E484" s="2" t="s">
        <v>1676</v>
      </c>
      <c r="F484" s="2" t="s">
        <v>1501</v>
      </c>
      <c r="G484" s="2" t="s">
        <v>1502</v>
      </c>
      <c r="H484" s="2" t="s">
        <v>1430</v>
      </c>
      <c r="I484" s="2" t="s">
        <v>1677</v>
      </c>
      <c r="J484" s="2" t="s">
        <v>1680</v>
      </c>
      <c r="K484" s="2" t="s">
        <v>214</v>
      </c>
      <c r="L484" s="3">
        <v>20.25</v>
      </c>
      <c r="M484" s="3">
        <v>21.26</v>
      </c>
      <c r="N484" s="3">
        <v>44.99</v>
      </c>
      <c r="O484" s="2" t="s">
        <v>95</v>
      </c>
      <c r="P484" s="2" t="s">
        <v>215</v>
      </c>
      <c r="Q484" s="2" t="s">
        <v>97</v>
      </c>
      <c r="R484" s="2" t="s">
        <v>98</v>
      </c>
      <c r="S484" s="2" t="s">
        <v>1553</v>
      </c>
      <c r="T484" s="2" t="s">
        <v>98</v>
      </c>
      <c r="U484" s="2" t="s">
        <v>98</v>
      </c>
      <c r="V484" s="2" t="s">
        <v>101</v>
      </c>
      <c r="W484" s="2" t="s">
        <v>335</v>
      </c>
      <c r="X484" s="2" t="s">
        <v>98</v>
      </c>
      <c r="Y484" s="2" t="s">
        <v>1506</v>
      </c>
      <c r="Z484" s="4">
        <v>157</v>
      </c>
      <c r="AA484" s="4">
        <f>=ROUNDDOWN(12.1705426356589,0)</f>
      </c>
      <c r="AB484" s="5">
        <v>12.9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14</v>
      </c>
      <c r="AQ484" s="8">
        <v>315</v>
      </c>
      <c r="AR484" s="4">
        <v>41</v>
      </c>
      <c r="AS484" s="8">
        <v>767.11</v>
      </c>
      <c r="AT484" s="7">
        <v>-0.6585</v>
      </c>
      <c r="AU484" s="7">
        <v>-0.5894</v>
      </c>
      <c r="AV484" s="4" t="s">
        <v>98</v>
      </c>
      <c r="AW484" s="8" t="s">
        <v>98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0.9484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 t="s">
        <v>98</v>
      </c>
      <c r="BJ484" s="4">
        <v>138</v>
      </c>
      <c r="BK484" s="8">
        <v>2953.5</v>
      </c>
      <c r="BL484" s="2" t="s">
        <v>1696</v>
      </c>
      <c r="BM484" s="7">
        <v>0.1014</v>
      </c>
      <c r="BN484" s="7">
        <v>0.1067</v>
      </c>
      <c r="BO484" s="4">
        <v>14</v>
      </c>
      <c r="BP484" s="8">
        <v>315</v>
      </c>
      <c r="BQ484" s="4">
        <v>41</v>
      </c>
      <c r="BR484" s="8">
        <v>767.11</v>
      </c>
      <c r="BS484" s="7">
        <v>-0.6585</v>
      </c>
      <c r="BT484" s="7">
        <v>-0.5894</v>
      </c>
      <c r="BU484" s="2" t="s">
        <v>107</v>
      </c>
      <c r="BV484" s="2" t="s">
        <v>108</v>
      </c>
      <c r="BW484" s="2" t="s">
        <v>1508</v>
      </c>
      <c r="BX484" s="2" t="s">
        <v>1472</v>
      </c>
      <c r="BY484" s="2" t="s">
        <v>111</v>
      </c>
    </row>
    <row r="485">
      <c r="A485" s="2" t="s">
        <v>1697</v>
      </c>
      <c r="B485" s="2" t="s">
        <v>86</v>
      </c>
      <c r="C485" s="2" t="s">
        <v>87</v>
      </c>
      <c r="D485" s="2" t="s">
        <v>88</v>
      </c>
      <c r="E485" s="2" t="s">
        <v>1676</v>
      </c>
      <c r="F485" s="2" t="s">
        <v>1332</v>
      </c>
      <c r="G485" s="2" t="s">
        <v>1333</v>
      </c>
      <c r="H485" s="2" t="s">
        <v>1334</v>
      </c>
      <c r="I485" s="2" t="s">
        <v>1698</v>
      </c>
      <c r="J485" s="2" t="s">
        <v>1699</v>
      </c>
      <c r="K485" s="2" t="s">
        <v>1359</v>
      </c>
      <c r="L485" s="3">
        <v>16.1</v>
      </c>
      <c r="M485" s="3">
        <v>16.9</v>
      </c>
      <c r="N485" s="3">
        <v>34.99</v>
      </c>
      <c r="O485" s="2" t="s">
        <v>95</v>
      </c>
      <c r="P485" s="2" t="s">
        <v>150</v>
      </c>
      <c r="Q485" s="2" t="s">
        <v>97</v>
      </c>
      <c r="R485" s="2" t="s">
        <v>98</v>
      </c>
      <c r="S485" s="2" t="s">
        <v>1360</v>
      </c>
      <c r="T485" s="2" t="s">
        <v>98</v>
      </c>
      <c r="U485" s="2" t="s">
        <v>98</v>
      </c>
      <c r="V485" s="2" t="s">
        <v>617</v>
      </c>
      <c r="W485" s="2" t="s">
        <v>102</v>
      </c>
      <c r="X485" s="2" t="s">
        <v>98</v>
      </c>
      <c r="Y485" s="2" t="s">
        <v>1658</v>
      </c>
      <c r="Z485" s="4">
        <v>364</v>
      </c>
      <c r="AA485" s="4">
        <f>=ROUNDDOWN(36.4,0)</f>
      </c>
      <c r="AB485" s="5">
        <v>10</v>
      </c>
      <c r="AC485" s="2" t="s">
        <v>98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17</v>
      </c>
      <c r="AQ485" s="8">
        <v>297.5</v>
      </c>
      <c r="AR485" s="4">
        <v>19</v>
      </c>
      <c r="AS485" s="8">
        <v>271.51</v>
      </c>
      <c r="AT485" s="7">
        <v>-0.1053</v>
      </c>
      <c r="AU485" s="7">
        <v>0.0957</v>
      </c>
      <c r="AV485" s="4">
        <v>36</v>
      </c>
      <c r="AW485" s="8">
        <v>725</v>
      </c>
      <c r="AX485" s="4">
        <v>70</v>
      </c>
      <c r="AY485" s="8">
        <v>1243.06</v>
      </c>
      <c r="AZ485" s="7">
        <v>-0.4857</v>
      </c>
      <c r="BA485" s="7">
        <v>-0.4168</v>
      </c>
      <c r="BB485" s="7">
        <v>0.4103</v>
      </c>
      <c r="BC485" s="4">
        <v>101</v>
      </c>
      <c r="BD485" s="8">
        <v>2082.5</v>
      </c>
      <c r="BE485" s="4">
        <v>185</v>
      </c>
      <c r="BF485" s="8">
        <v>3219.61</v>
      </c>
      <c r="BG485" s="7">
        <v>-0.4541</v>
      </c>
      <c r="BH485" s="7">
        <v>-0.3532</v>
      </c>
      <c r="BI485" s="7">
        <v>0.3481</v>
      </c>
      <c r="BJ485" s="4">
        <v>233</v>
      </c>
      <c r="BK485" s="8">
        <v>4008.05</v>
      </c>
      <c r="BL485" s="2" t="s">
        <v>528</v>
      </c>
      <c r="BM485" s="7">
        <v>0.073</v>
      </c>
      <c r="BN485" s="7">
        <v>0.0742</v>
      </c>
      <c r="BO485" s="4">
        <v>17</v>
      </c>
      <c r="BP485" s="8">
        <v>297.5</v>
      </c>
      <c r="BQ485" s="4">
        <v>19</v>
      </c>
      <c r="BR485" s="8">
        <v>271.51</v>
      </c>
      <c r="BS485" s="7">
        <v>-0.1053</v>
      </c>
      <c r="BT485" s="7">
        <v>0.0957</v>
      </c>
      <c r="BU485" s="2" t="s">
        <v>107</v>
      </c>
      <c r="BV485" s="2" t="s">
        <v>108</v>
      </c>
      <c r="BW485" s="2" t="s">
        <v>244</v>
      </c>
      <c r="BX485" s="2" t="s">
        <v>245</v>
      </c>
      <c r="BY485" s="2" t="s">
        <v>111</v>
      </c>
    </row>
    <row r="486">
      <c r="A486" s="2" t="s">
        <v>1700</v>
      </c>
      <c r="B486" s="2" t="s">
        <v>86</v>
      </c>
      <c r="C486" s="2" t="s">
        <v>87</v>
      </c>
      <c r="D486" s="2" t="s">
        <v>88</v>
      </c>
      <c r="E486" s="2" t="s">
        <v>1676</v>
      </c>
      <c r="F486" s="2" t="s">
        <v>1332</v>
      </c>
      <c r="G486" s="2" t="s">
        <v>1333</v>
      </c>
      <c r="H486" s="2" t="s">
        <v>1334</v>
      </c>
      <c r="I486" s="2" t="s">
        <v>1698</v>
      </c>
      <c r="J486" s="2" t="s">
        <v>1701</v>
      </c>
      <c r="K486" s="2" t="s">
        <v>1359</v>
      </c>
      <c r="L486" s="3">
        <v>21.15</v>
      </c>
      <c r="M486" s="3">
        <v>22.21</v>
      </c>
      <c r="N486" s="3">
        <v>44.99</v>
      </c>
      <c r="O486" s="2" t="s">
        <v>95</v>
      </c>
      <c r="P486" s="2" t="s">
        <v>150</v>
      </c>
      <c r="Q486" s="2" t="s">
        <v>97</v>
      </c>
      <c r="R486" s="2" t="s">
        <v>98</v>
      </c>
      <c r="S486" s="2" t="s">
        <v>1360</v>
      </c>
      <c r="T486" s="2" t="s">
        <v>98</v>
      </c>
      <c r="U486" s="2" t="s">
        <v>98</v>
      </c>
      <c r="V486" s="2" t="s">
        <v>617</v>
      </c>
      <c r="W486" s="2" t="s">
        <v>102</v>
      </c>
      <c r="X486" s="2" t="s">
        <v>98</v>
      </c>
      <c r="Y486" s="2" t="s">
        <v>1658</v>
      </c>
      <c r="Z486" s="4">
        <v>210</v>
      </c>
      <c r="AA486" s="4">
        <f>=ROUNDDOWN(19.0909090909091,0)</f>
      </c>
      <c r="AB486" s="5">
        <v>11</v>
      </c>
      <c r="AC486" s="2" t="s">
        <v>489</v>
      </c>
      <c r="AD486" s="4">
        <v>56</v>
      </c>
      <c r="AE486" s="4">
        <v>108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19</v>
      </c>
      <c r="AQ486" s="8">
        <v>427.5</v>
      </c>
      <c r="AR486" s="4">
        <v>51</v>
      </c>
      <c r="AS486" s="8">
        <v>971.55</v>
      </c>
      <c r="AT486" s="7">
        <v>-0.6275</v>
      </c>
      <c r="AU486" s="7">
        <v>-0.56</v>
      </c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0.5897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137</v>
      </c>
      <c r="BK486" s="8">
        <v>3113.74</v>
      </c>
      <c r="BL486" s="2" t="s">
        <v>528</v>
      </c>
      <c r="BM486" s="7">
        <v>0.1387</v>
      </c>
      <c r="BN486" s="7">
        <v>0.1373</v>
      </c>
      <c r="BO486" s="4">
        <v>19</v>
      </c>
      <c r="BP486" s="8">
        <v>427.5</v>
      </c>
      <c r="BQ486" s="4">
        <v>51</v>
      </c>
      <c r="BR486" s="8">
        <v>971.55</v>
      </c>
      <c r="BS486" s="7">
        <v>-0.6275</v>
      </c>
      <c r="BT486" s="7">
        <v>-0.56</v>
      </c>
      <c r="BU486" s="2" t="s">
        <v>107</v>
      </c>
      <c r="BV486" s="2" t="s">
        <v>108</v>
      </c>
      <c r="BW486" s="2" t="s">
        <v>244</v>
      </c>
      <c r="BX486" s="2" t="s">
        <v>245</v>
      </c>
      <c r="BY486" s="2" t="s">
        <v>111</v>
      </c>
    </row>
    <row r="487">
      <c r="A487" s="2" t="s">
        <v>1702</v>
      </c>
      <c r="B487" s="2" t="s">
        <v>86</v>
      </c>
      <c r="C487" s="2" t="s">
        <v>87</v>
      </c>
      <c r="D487" s="2" t="s">
        <v>88</v>
      </c>
      <c r="E487" s="2" t="s">
        <v>1676</v>
      </c>
      <c r="F487" s="2" t="s">
        <v>1332</v>
      </c>
      <c r="G487" s="2" t="s">
        <v>1333</v>
      </c>
      <c r="H487" s="2" t="s">
        <v>1334</v>
      </c>
      <c r="I487" s="2" t="s">
        <v>1698</v>
      </c>
      <c r="J487" s="2" t="s">
        <v>1699</v>
      </c>
      <c r="K487" s="2" t="s">
        <v>458</v>
      </c>
      <c r="L487" s="3">
        <v>16.1</v>
      </c>
      <c r="M487" s="3">
        <v>16.9</v>
      </c>
      <c r="N487" s="3">
        <v>34.99</v>
      </c>
      <c r="O487" s="2" t="s">
        <v>95</v>
      </c>
      <c r="P487" s="2" t="s">
        <v>150</v>
      </c>
      <c r="Q487" s="2" t="s">
        <v>97</v>
      </c>
      <c r="R487" s="2" t="s">
        <v>98</v>
      </c>
      <c r="S487" s="2" t="s">
        <v>1346</v>
      </c>
      <c r="T487" s="2" t="s">
        <v>98</v>
      </c>
      <c r="U487" s="2" t="s">
        <v>98</v>
      </c>
      <c r="V487" s="2" t="s">
        <v>617</v>
      </c>
      <c r="W487" s="2" t="s">
        <v>102</v>
      </c>
      <c r="X487" s="2" t="s">
        <v>98</v>
      </c>
      <c r="Y487" s="2" t="s">
        <v>1658</v>
      </c>
      <c r="Z487" s="4">
        <v>262</v>
      </c>
      <c r="AA487" s="4">
        <f>=ROUNDDOWN(32.75,0)</f>
      </c>
      <c r="AB487" s="5">
        <v>8</v>
      </c>
      <c r="AC487" s="2" t="s">
        <v>98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11</v>
      </c>
      <c r="AQ487" s="8">
        <v>192.5</v>
      </c>
      <c r="AR487" s="4">
        <v>18</v>
      </c>
      <c r="AS487" s="8">
        <v>257.22</v>
      </c>
      <c r="AT487" s="7">
        <v>-0.3889</v>
      </c>
      <c r="AU487" s="7">
        <v>-0.2516</v>
      </c>
      <c r="AV487" s="4">
        <v>26</v>
      </c>
      <c r="AW487" s="8">
        <v>530</v>
      </c>
      <c r="AX487" s="4">
        <v>18</v>
      </c>
      <c r="AY487" s="8">
        <v>257.22</v>
      </c>
      <c r="AZ487" s="7">
        <v>0.4444</v>
      </c>
      <c r="BA487" s="7">
        <v>1.0605</v>
      </c>
      <c r="BB487" s="7">
        <v>0.3632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0.2545</v>
      </c>
      <c r="BJ487" s="4">
        <v>115</v>
      </c>
      <c r="BK487" s="8">
        <v>1997.92</v>
      </c>
      <c r="BL487" s="2" t="s">
        <v>1703</v>
      </c>
      <c r="BM487" s="7">
        <v>0.0957</v>
      </c>
      <c r="BN487" s="7">
        <v>0.0964</v>
      </c>
      <c r="BO487" s="4">
        <v>11</v>
      </c>
      <c r="BP487" s="8">
        <v>192.5</v>
      </c>
      <c r="BQ487" s="4">
        <v>18</v>
      </c>
      <c r="BR487" s="8">
        <v>257.22</v>
      </c>
      <c r="BS487" s="7">
        <v>-0.3889</v>
      </c>
      <c r="BT487" s="7">
        <v>-0.2516</v>
      </c>
      <c r="BU487" s="2" t="s">
        <v>107</v>
      </c>
      <c r="BV487" s="2" t="s">
        <v>108</v>
      </c>
      <c r="BW487" s="2" t="s">
        <v>244</v>
      </c>
      <c r="BX487" s="2" t="s">
        <v>427</v>
      </c>
      <c r="BY487" s="2" t="s">
        <v>111</v>
      </c>
    </row>
    <row r="488">
      <c r="A488" s="2" t="s">
        <v>1704</v>
      </c>
      <c r="B488" s="2" t="s">
        <v>86</v>
      </c>
      <c r="C488" s="2" t="s">
        <v>87</v>
      </c>
      <c r="D488" s="2" t="s">
        <v>88</v>
      </c>
      <c r="E488" s="2" t="s">
        <v>1676</v>
      </c>
      <c r="F488" s="2" t="s">
        <v>1332</v>
      </c>
      <c r="G488" s="2" t="s">
        <v>1333</v>
      </c>
      <c r="H488" s="2" t="s">
        <v>1334</v>
      </c>
      <c r="I488" s="2" t="s">
        <v>1698</v>
      </c>
      <c r="J488" s="2" t="s">
        <v>1701</v>
      </c>
      <c r="K488" s="2" t="s">
        <v>458</v>
      </c>
      <c r="L488" s="3">
        <v>21.15</v>
      </c>
      <c r="M488" s="3">
        <v>22.21</v>
      </c>
      <c r="N488" s="3">
        <v>44.99</v>
      </c>
      <c r="O488" s="2" t="s">
        <v>95</v>
      </c>
      <c r="P488" s="2" t="s">
        <v>215</v>
      </c>
      <c r="Q488" s="2" t="s">
        <v>97</v>
      </c>
      <c r="R488" s="2" t="s">
        <v>98</v>
      </c>
      <c r="S488" s="2" t="s">
        <v>1346</v>
      </c>
      <c r="T488" s="2" t="s">
        <v>98</v>
      </c>
      <c r="U488" s="2" t="s">
        <v>98</v>
      </c>
      <c r="V488" s="2" t="s">
        <v>617</v>
      </c>
      <c r="W488" s="2" t="s">
        <v>102</v>
      </c>
      <c r="X488" s="2" t="s">
        <v>98</v>
      </c>
      <c r="Y488" s="2" t="s">
        <v>1658</v>
      </c>
      <c r="Z488" s="4">
        <v>160</v>
      </c>
      <c r="AA488" s="4">
        <f>=ROUNDDOWN(33.3333333333333,0)</f>
      </c>
      <c r="AB488" s="5">
        <v>4.8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15</v>
      </c>
      <c r="AQ488" s="8">
        <v>337.5</v>
      </c>
      <c r="AR488" s="4"/>
      <c r="AS488" s="8"/>
      <c r="AT488" s="7"/>
      <c r="AU488" s="7"/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0.6368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 t="s">
        <v>98</v>
      </c>
      <c r="BJ488" s="4">
        <v>126</v>
      </c>
      <c r="BK488" s="8">
        <v>2778.77</v>
      </c>
      <c r="BL488" s="2" t="s">
        <v>447</v>
      </c>
      <c r="BM488" s="7">
        <v>0.119</v>
      </c>
      <c r="BN488" s="7">
        <v>0.1215</v>
      </c>
      <c r="BO488" s="4">
        <v>15</v>
      </c>
      <c r="BP488" s="8">
        <v>337.5</v>
      </c>
      <c r="BQ488" s="4"/>
      <c r="BR488" s="8"/>
      <c r="BS488" s="7"/>
      <c r="BT488" s="7"/>
      <c r="BU488" s="2" t="s">
        <v>107</v>
      </c>
      <c r="BV488" s="2" t="s">
        <v>108</v>
      </c>
      <c r="BW488" s="2" t="s">
        <v>244</v>
      </c>
      <c r="BX488" s="2" t="s">
        <v>651</v>
      </c>
      <c r="BY488" s="2" t="s">
        <v>111</v>
      </c>
    </row>
    <row r="489">
      <c r="A489" s="2" t="s">
        <v>1705</v>
      </c>
      <c r="B489" s="2" t="s">
        <v>86</v>
      </c>
      <c r="C489" s="2" t="s">
        <v>87</v>
      </c>
      <c r="D489" s="2" t="s">
        <v>88</v>
      </c>
      <c r="E489" s="2" t="s">
        <v>1676</v>
      </c>
      <c r="F489" s="2" t="s">
        <v>1332</v>
      </c>
      <c r="G489" s="2" t="s">
        <v>1333</v>
      </c>
      <c r="H489" s="2" t="s">
        <v>1334</v>
      </c>
      <c r="I489" s="2" t="s">
        <v>1698</v>
      </c>
      <c r="J489" s="2" t="s">
        <v>1699</v>
      </c>
      <c r="K489" s="2" t="s">
        <v>94</v>
      </c>
      <c r="L489" s="3">
        <v>16.1</v>
      </c>
      <c r="M489" s="3">
        <v>16.9</v>
      </c>
      <c r="N489" s="3">
        <v>34.99</v>
      </c>
      <c r="O489" s="2" t="s">
        <v>95</v>
      </c>
      <c r="P489" s="2" t="s">
        <v>150</v>
      </c>
      <c r="Q489" s="2" t="s">
        <v>97</v>
      </c>
      <c r="R489" s="2" t="s">
        <v>98</v>
      </c>
      <c r="S489" s="2" t="s">
        <v>1336</v>
      </c>
      <c r="T489" s="2" t="s">
        <v>98</v>
      </c>
      <c r="U489" s="2" t="s">
        <v>98</v>
      </c>
      <c r="V489" s="2" t="s">
        <v>617</v>
      </c>
      <c r="W489" s="2" t="s">
        <v>102</v>
      </c>
      <c r="X489" s="2" t="s">
        <v>98</v>
      </c>
      <c r="Y489" s="2" t="s">
        <v>1658</v>
      </c>
      <c r="Z489" s="4">
        <v>119</v>
      </c>
      <c r="AA489" s="4">
        <f>=ROUNDDOWN(13.2222222222222,0)</f>
      </c>
      <c r="AB489" s="5">
        <v>9</v>
      </c>
      <c r="AC489" s="2" t="s">
        <v>489</v>
      </c>
      <c r="AD489" s="4">
        <v>120</v>
      </c>
      <c r="AE489" s="4">
        <v>188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5</v>
      </c>
      <c r="AQ489" s="8">
        <v>87.5</v>
      </c>
      <c r="AR489" s="4">
        <v>27</v>
      </c>
      <c r="AS489" s="8">
        <v>385.83</v>
      </c>
      <c r="AT489" s="7">
        <v>-0.8148</v>
      </c>
      <c r="AU489" s="7">
        <v>-0.7732</v>
      </c>
      <c r="AV489" s="4">
        <v>22</v>
      </c>
      <c r="AW489" s="8">
        <v>470</v>
      </c>
      <c r="AX489" s="4">
        <v>62</v>
      </c>
      <c r="AY489" s="8">
        <v>1052.58</v>
      </c>
      <c r="AZ489" s="7">
        <v>-0.6452</v>
      </c>
      <c r="BA489" s="7">
        <v>-0.5535</v>
      </c>
      <c r="BB489" s="7">
        <v>0.1862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0.2257</v>
      </c>
      <c r="BJ489" s="4">
        <v>159</v>
      </c>
      <c r="BK489" s="8">
        <v>2705.07</v>
      </c>
      <c r="BL489" s="2" t="s">
        <v>1706</v>
      </c>
      <c r="BM489" s="7">
        <v>0.0314</v>
      </c>
      <c r="BN489" s="7">
        <v>0.0323</v>
      </c>
      <c r="BO489" s="4">
        <v>5</v>
      </c>
      <c r="BP489" s="8">
        <v>87.5</v>
      </c>
      <c r="BQ489" s="4">
        <v>27</v>
      </c>
      <c r="BR489" s="8">
        <v>385.83</v>
      </c>
      <c r="BS489" s="7">
        <v>-0.8148</v>
      </c>
      <c r="BT489" s="7">
        <v>-0.7732</v>
      </c>
      <c r="BU489" s="2" t="s">
        <v>107</v>
      </c>
      <c r="BV489" s="2" t="s">
        <v>108</v>
      </c>
      <c r="BW489" s="2" t="s">
        <v>244</v>
      </c>
      <c r="BX489" s="2" t="s">
        <v>245</v>
      </c>
      <c r="BY489" s="2" t="s">
        <v>111</v>
      </c>
    </row>
    <row r="490">
      <c r="A490" s="2" t="s">
        <v>1707</v>
      </c>
      <c r="B490" s="2" t="s">
        <v>86</v>
      </c>
      <c r="C490" s="2" t="s">
        <v>87</v>
      </c>
      <c r="D490" s="2" t="s">
        <v>88</v>
      </c>
      <c r="E490" s="2" t="s">
        <v>1676</v>
      </c>
      <c r="F490" s="2" t="s">
        <v>1332</v>
      </c>
      <c r="G490" s="2" t="s">
        <v>1333</v>
      </c>
      <c r="H490" s="2" t="s">
        <v>1334</v>
      </c>
      <c r="I490" s="2" t="s">
        <v>1698</v>
      </c>
      <c r="J490" s="2" t="s">
        <v>1701</v>
      </c>
      <c r="K490" s="2" t="s">
        <v>94</v>
      </c>
      <c r="L490" s="3">
        <v>21.15</v>
      </c>
      <c r="M490" s="3">
        <v>22.21</v>
      </c>
      <c r="N490" s="3">
        <v>44.99</v>
      </c>
      <c r="O490" s="2" t="s">
        <v>95</v>
      </c>
      <c r="P490" s="2" t="s">
        <v>150</v>
      </c>
      <c r="Q490" s="2" t="s">
        <v>97</v>
      </c>
      <c r="R490" s="2" t="s">
        <v>98</v>
      </c>
      <c r="S490" s="2" t="s">
        <v>1336</v>
      </c>
      <c r="T490" s="2" t="s">
        <v>98</v>
      </c>
      <c r="U490" s="2" t="s">
        <v>98</v>
      </c>
      <c r="V490" s="2" t="s">
        <v>617</v>
      </c>
      <c r="W490" s="2" t="s">
        <v>102</v>
      </c>
      <c r="X490" s="2" t="s">
        <v>98</v>
      </c>
      <c r="Y490" s="2" t="s">
        <v>1658</v>
      </c>
      <c r="Z490" s="4">
        <v>124</v>
      </c>
      <c r="AA490" s="4">
        <f>=ROUNDDOWN(20.6666666666667,0)</f>
      </c>
      <c r="AB490" s="5">
        <v>6</v>
      </c>
      <c r="AC490" s="2" t="s">
        <v>489</v>
      </c>
      <c r="AD490" s="4">
        <v>48</v>
      </c>
      <c r="AE490" s="4">
        <v>48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17</v>
      </c>
      <c r="AQ490" s="8">
        <v>382.5</v>
      </c>
      <c r="AR490" s="4">
        <v>35</v>
      </c>
      <c r="AS490" s="8">
        <v>666.75</v>
      </c>
      <c r="AT490" s="7">
        <v>-0.5143</v>
      </c>
      <c r="AU490" s="7">
        <v>-0.4263</v>
      </c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0.8138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97</v>
      </c>
      <c r="BK490" s="8">
        <v>2187.19</v>
      </c>
      <c r="BL490" s="2" t="s">
        <v>1708</v>
      </c>
      <c r="BM490" s="7">
        <v>0.1753</v>
      </c>
      <c r="BN490" s="7">
        <v>0.1749</v>
      </c>
      <c r="BO490" s="4">
        <v>17</v>
      </c>
      <c r="BP490" s="8">
        <v>382.5</v>
      </c>
      <c r="BQ490" s="4">
        <v>35</v>
      </c>
      <c r="BR490" s="8">
        <v>666.75</v>
      </c>
      <c r="BS490" s="7">
        <v>-0.5143</v>
      </c>
      <c r="BT490" s="7">
        <v>-0.4263</v>
      </c>
      <c r="BU490" s="2" t="s">
        <v>107</v>
      </c>
      <c r="BV490" s="2" t="s">
        <v>108</v>
      </c>
      <c r="BW490" s="2" t="s">
        <v>244</v>
      </c>
      <c r="BX490" s="2" t="s">
        <v>357</v>
      </c>
      <c r="BY490" s="2" t="s">
        <v>111</v>
      </c>
    </row>
    <row r="491">
      <c r="A491" s="2" t="s">
        <v>1709</v>
      </c>
      <c r="B491" s="2" t="s">
        <v>86</v>
      </c>
      <c r="C491" s="2" t="s">
        <v>87</v>
      </c>
      <c r="D491" s="2" t="s">
        <v>88</v>
      </c>
      <c r="E491" s="2" t="s">
        <v>1676</v>
      </c>
      <c r="F491" s="2" t="s">
        <v>1332</v>
      </c>
      <c r="G491" s="2" t="s">
        <v>1333</v>
      </c>
      <c r="H491" s="2" t="s">
        <v>1334</v>
      </c>
      <c r="I491" s="2" t="s">
        <v>1698</v>
      </c>
      <c r="J491" s="2" t="s">
        <v>1699</v>
      </c>
      <c r="K491" s="2" t="s">
        <v>400</v>
      </c>
      <c r="L491" s="3">
        <v>16.1</v>
      </c>
      <c r="M491" s="3">
        <v>16.9</v>
      </c>
      <c r="N491" s="3">
        <v>34.99</v>
      </c>
      <c r="O491" s="2" t="s">
        <v>95</v>
      </c>
      <c r="P491" s="2" t="s">
        <v>150</v>
      </c>
      <c r="Q491" s="2" t="s">
        <v>97</v>
      </c>
      <c r="R491" s="2" t="s">
        <v>98</v>
      </c>
      <c r="S491" s="2" t="s">
        <v>1352</v>
      </c>
      <c r="T491" s="2" t="s">
        <v>98</v>
      </c>
      <c r="U491" s="2" t="s">
        <v>98</v>
      </c>
      <c r="V491" s="2" t="s">
        <v>617</v>
      </c>
      <c r="W491" s="2" t="s">
        <v>102</v>
      </c>
      <c r="X491" s="2" t="s">
        <v>98</v>
      </c>
      <c r="Y491" s="2" t="s">
        <v>1658</v>
      </c>
      <c r="Z491" s="4">
        <v>156</v>
      </c>
      <c r="AA491" s="4">
        <f>=ROUNDDOWN(26,0)</f>
      </c>
      <c r="AB491" s="5">
        <v>6</v>
      </c>
      <c r="AC491" s="2" t="s">
        <v>98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5</v>
      </c>
      <c r="AQ491" s="8">
        <v>87.5</v>
      </c>
      <c r="AR491" s="4"/>
      <c r="AS491" s="8"/>
      <c r="AT491" s="7"/>
      <c r="AU491" s="7"/>
      <c r="AV491" s="4">
        <v>17</v>
      </c>
      <c r="AW491" s="8">
        <v>357.5</v>
      </c>
      <c r="AX491" s="4">
        <v>35</v>
      </c>
      <c r="AY491" s="8">
        <v>666.75</v>
      </c>
      <c r="AZ491" s="7">
        <v>-0.5143</v>
      </c>
      <c r="BA491" s="7">
        <v>-0.4638</v>
      </c>
      <c r="BB491" s="7">
        <v>0.2448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0.1717</v>
      </c>
      <c r="BJ491" s="4">
        <v>157</v>
      </c>
      <c r="BK491" s="8">
        <v>2701.51</v>
      </c>
      <c r="BL491" s="2" t="s">
        <v>538</v>
      </c>
      <c r="BM491" s="7">
        <v>0.0318</v>
      </c>
      <c r="BN491" s="7">
        <v>0.0324</v>
      </c>
      <c r="BO491" s="4">
        <v>5</v>
      </c>
      <c r="BP491" s="8">
        <v>87.5</v>
      </c>
      <c r="BQ491" s="4"/>
      <c r="BR491" s="8"/>
      <c r="BS491" s="7"/>
      <c r="BT491" s="7"/>
      <c r="BU491" s="2" t="s">
        <v>107</v>
      </c>
      <c r="BV491" s="2" t="s">
        <v>108</v>
      </c>
      <c r="BW491" s="2" t="s">
        <v>244</v>
      </c>
      <c r="BX491" s="2" t="s">
        <v>345</v>
      </c>
      <c r="BY491" s="2" t="s">
        <v>111</v>
      </c>
    </row>
    <row r="492">
      <c r="A492" s="2" t="s">
        <v>1710</v>
      </c>
      <c r="B492" s="2" t="s">
        <v>86</v>
      </c>
      <c r="C492" s="2" t="s">
        <v>87</v>
      </c>
      <c r="D492" s="2" t="s">
        <v>88</v>
      </c>
      <c r="E492" s="2" t="s">
        <v>1676</v>
      </c>
      <c r="F492" s="2" t="s">
        <v>1332</v>
      </c>
      <c r="G492" s="2" t="s">
        <v>1333</v>
      </c>
      <c r="H492" s="2" t="s">
        <v>1334</v>
      </c>
      <c r="I492" s="2" t="s">
        <v>1698</v>
      </c>
      <c r="J492" s="2" t="s">
        <v>1701</v>
      </c>
      <c r="K492" s="2" t="s">
        <v>400</v>
      </c>
      <c r="L492" s="3">
        <v>21.15</v>
      </c>
      <c r="M492" s="3">
        <v>22.21</v>
      </c>
      <c r="N492" s="3">
        <v>44.99</v>
      </c>
      <c r="O492" s="2" t="s">
        <v>95</v>
      </c>
      <c r="P492" s="2" t="s">
        <v>150</v>
      </c>
      <c r="Q492" s="2" t="s">
        <v>97</v>
      </c>
      <c r="R492" s="2" t="s">
        <v>98</v>
      </c>
      <c r="S492" s="2" t="s">
        <v>1352</v>
      </c>
      <c r="T492" s="2" t="s">
        <v>98</v>
      </c>
      <c r="U492" s="2" t="s">
        <v>98</v>
      </c>
      <c r="V492" s="2" t="s">
        <v>617</v>
      </c>
      <c r="W492" s="2" t="s">
        <v>102</v>
      </c>
      <c r="X492" s="2" t="s">
        <v>98</v>
      </c>
      <c r="Y492" s="2" t="s">
        <v>1658</v>
      </c>
      <c r="Z492" s="4">
        <v>107</v>
      </c>
      <c r="AA492" s="4">
        <f>=ROUNDDOWN(15.2857142857143,0)</f>
      </c>
      <c r="AB492" s="5">
        <v>7</v>
      </c>
      <c r="AC492" s="2" t="s">
        <v>489</v>
      </c>
      <c r="AD492" s="4">
        <v>64</v>
      </c>
      <c r="AE492" s="4">
        <v>164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12</v>
      </c>
      <c r="AQ492" s="8">
        <v>270</v>
      </c>
      <c r="AR492" s="4">
        <v>35</v>
      </c>
      <c r="AS492" s="8">
        <v>666.75</v>
      </c>
      <c r="AT492" s="7">
        <v>-0.6571</v>
      </c>
      <c r="AU492" s="7">
        <v>-0.5951</v>
      </c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0.7552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 t="s">
        <v>98</v>
      </c>
      <c r="BJ492" s="4">
        <v>122</v>
      </c>
      <c r="BK492" s="8">
        <v>2800.69</v>
      </c>
      <c r="BL492" s="2" t="s">
        <v>1711</v>
      </c>
      <c r="BM492" s="7">
        <v>0.0984</v>
      </c>
      <c r="BN492" s="7">
        <v>0.0964</v>
      </c>
      <c r="BO492" s="4">
        <v>12</v>
      </c>
      <c r="BP492" s="8">
        <v>270</v>
      </c>
      <c r="BQ492" s="4">
        <v>35</v>
      </c>
      <c r="BR492" s="8">
        <v>666.75</v>
      </c>
      <c r="BS492" s="7">
        <v>-0.6571</v>
      </c>
      <c r="BT492" s="7">
        <v>-0.5951</v>
      </c>
      <c r="BU492" s="2" t="s">
        <v>107</v>
      </c>
      <c r="BV492" s="2" t="s">
        <v>108</v>
      </c>
      <c r="BW492" s="2" t="s">
        <v>244</v>
      </c>
      <c r="BX492" s="2" t="s">
        <v>378</v>
      </c>
      <c r="BY492" s="2" t="s">
        <v>111</v>
      </c>
    </row>
    <row r="493">
      <c r="A493" s="2" t="s">
        <v>1712</v>
      </c>
      <c r="B493" s="2" t="s">
        <v>86</v>
      </c>
      <c r="C493" s="2" t="s">
        <v>87</v>
      </c>
      <c r="D493" s="2" t="s">
        <v>88</v>
      </c>
      <c r="E493" s="2" t="s">
        <v>1676</v>
      </c>
      <c r="F493" s="2" t="s">
        <v>1291</v>
      </c>
      <c r="G493" s="2" t="s">
        <v>823</v>
      </c>
      <c r="H493" s="2" t="s">
        <v>1292</v>
      </c>
      <c r="I493" s="2" t="s">
        <v>1713</v>
      </c>
      <c r="J493" s="2" t="s">
        <v>1678</v>
      </c>
      <c r="K493" s="2" t="s">
        <v>299</v>
      </c>
      <c r="L493" s="3">
        <v>14.85</v>
      </c>
      <c r="M493" s="3">
        <v>15.59</v>
      </c>
      <c r="N493" s="3">
        <v>32.99</v>
      </c>
      <c r="O493" s="2" t="s">
        <v>95</v>
      </c>
      <c r="P493" s="2" t="s">
        <v>215</v>
      </c>
      <c r="Q493" s="2" t="s">
        <v>97</v>
      </c>
      <c r="R493" s="2" t="s">
        <v>98</v>
      </c>
      <c r="S493" s="2" t="s">
        <v>1307</v>
      </c>
      <c r="T493" s="2" t="s">
        <v>98</v>
      </c>
      <c r="U493" s="2" t="s">
        <v>100</v>
      </c>
      <c r="V493" s="2" t="s">
        <v>762</v>
      </c>
      <c r="W493" s="2" t="s">
        <v>102</v>
      </c>
      <c r="X493" s="2" t="s">
        <v>335</v>
      </c>
      <c r="Y493" s="2" t="s">
        <v>1295</v>
      </c>
      <c r="Z493" s="4">
        <v>396</v>
      </c>
      <c r="AA493" s="4">
        <f>=ROUNDDOWN(39.6,0)</f>
      </c>
      <c r="AB493" s="5">
        <v>10</v>
      </c>
      <c r="AC493" s="2" t="s">
        <v>98</v>
      </c>
      <c r="AD493" s="4"/>
      <c r="AE493" s="4"/>
      <c r="AF493" s="6">
        <v>65</v>
      </c>
      <c r="AG493" s="6"/>
      <c r="AH493" s="7">
        <v>1</v>
      </c>
      <c r="AI493" s="4">
        <v>1</v>
      </c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3</v>
      </c>
      <c r="AQ493" s="8">
        <v>46.53</v>
      </c>
      <c r="AR493" s="4">
        <v>32</v>
      </c>
      <c r="AS493" s="8">
        <v>399.04</v>
      </c>
      <c r="AT493" s="7">
        <v>-0.9062</v>
      </c>
      <c r="AU493" s="7">
        <v>-0.8834</v>
      </c>
      <c r="AV493" s="4">
        <v>8</v>
      </c>
      <c r="AW493" s="8">
        <v>137.18</v>
      </c>
      <c r="AX493" s="4">
        <v>32</v>
      </c>
      <c r="AY493" s="8">
        <v>399.04</v>
      </c>
      <c r="AZ493" s="7">
        <v>-0.75</v>
      </c>
      <c r="BA493" s="7">
        <v>-0.6562</v>
      </c>
      <c r="BB493" s="7">
        <v>0.3392</v>
      </c>
      <c r="BC493" s="4">
        <v>21</v>
      </c>
      <c r="BD493" s="8">
        <v>351.91</v>
      </c>
      <c r="BE493" s="4">
        <v>80</v>
      </c>
      <c r="BF493" s="8">
        <v>997.6</v>
      </c>
      <c r="BG493" s="7">
        <v>-0.7375</v>
      </c>
      <c r="BH493" s="7">
        <v>-0.6472</v>
      </c>
      <c r="BI493" s="7">
        <v>0.3898</v>
      </c>
      <c r="BJ493" s="4">
        <v>115</v>
      </c>
      <c r="BK493" s="8">
        <v>1795.08</v>
      </c>
      <c r="BL493" s="2" t="s">
        <v>1296</v>
      </c>
      <c r="BM493" s="7">
        <v>0.0261</v>
      </c>
      <c r="BN493" s="7">
        <v>0.0259</v>
      </c>
      <c r="BO493" s="4">
        <v>3</v>
      </c>
      <c r="BP493" s="8">
        <v>46.53</v>
      </c>
      <c r="BQ493" s="4">
        <v>32</v>
      </c>
      <c r="BR493" s="8">
        <v>399.04</v>
      </c>
      <c r="BS493" s="7">
        <v>-0.9062</v>
      </c>
      <c r="BT493" s="7">
        <v>-0.8834</v>
      </c>
      <c r="BU493" s="2" t="s">
        <v>107</v>
      </c>
      <c r="BV493" s="2" t="s">
        <v>108</v>
      </c>
      <c r="BW493" s="2" t="s">
        <v>570</v>
      </c>
      <c r="BX493" s="2" t="s">
        <v>1305</v>
      </c>
      <c r="BY493" s="2" t="s">
        <v>111</v>
      </c>
    </row>
    <row r="494">
      <c r="A494" s="2" t="s">
        <v>1714</v>
      </c>
      <c r="B494" s="2" t="s">
        <v>86</v>
      </c>
      <c r="C494" s="2" t="s">
        <v>87</v>
      </c>
      <c r="D494" s="2" t="s">
        <v>88</v>
      </c>
      <c r="E494" s="2" t="s">
        <v>1676</v>
      </c>
      <c r="F494" s="2" t="s">
        <v>1291</v>
      </c>
      <c r="G494" s="2" t="s">
        <v>823</v>
      </c>
      <c r="H494" s="2" t="s">
        <v>1292</v>
      </c>
      <c r="I494" s="2" t="s">
        <v>1713</v>
      </c>
      <c r="J494" s="2" t="s">
        <v>1680</v>
      </c>
      <c r="K494" s="2" t="s">
        <v>299</v>
      </c>
      <c r="L494" s="3">
        <v>17.02</v>
      </c>
      <c r="M494" s="3">
        <v>17.87</v>
      </c>
      <c r="N494" s="3">
        <v>36.99</v>
      </c>
      <c r="O494" s="2" t="s">
        <v>95</v>
      </c>
      <c r="P494" s="2" t="s">
        <v>215</v>
      </c>
      <c r="Q494" s="2" t="s">
        <v>97</v>
      </c>
      <c r="R494" s="2" t="s">
        <v>98</v>
      </c>
      <c r="S494" s="2" t="s">
        <v>1307</v>
      </c>
      <c r="T494" s="2" t="s">
        <v>98</v>
      </c>
      <c r="U494" s="2" t="s">
        <v>100</v>
      </c>
      <c r="V494" s="2" t="s">
        <v>762</v>
      </c>
      <c r="W494" s="2" t="s">
        <v>102</v>
      </c>
      <c r="X494" s="2" t="s">
        <v>335</v>
      </c>
      <c r="Y494" s="2" t="s">
        <v>1295</v>
      </c>
      <c r="Z494" s="4">
        <v>128</v>
      </c>
      <c r="AA494" s="4">
        <f>=ROUNDDOWN(18.2857142857143,0)</f>
      </c>
      <c r="AB494" s="5">
        <v>7</v>
      </c>
      <c r="AC494" s="2" t="s">
        <v>98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5</v>
      </c>
      <c r="AQ494" s="8">
        <v>90.65</v>
      </c>
      <c r="AR494" s="4"/>
      <c r="AS494" s="8"/>
      <c r="AT494" s="7"/>
      <c r="AU494" s="7"/>
      <c r="AV494" s="4" t="s">
        <v>98</v>
      </c>
      <c r="AW494" s="8" t="s">
        <v>98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0.6608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 t="s">
        <v>98</v>
      </c>
      <c r="BJ494" s="4">
        <v>123</v>
      </c>
      <c r="BK494" s="8">
        <v>2245.69</v>
      </c>
      <c r="BL494" s="2" t="s">
        <v>395</v>
      </c>
      <c r="BM494" s="7">
        <v>0.0407</v>
      </c>
      <c r="BN494" s="7">
        <v>0.0404</v>
      </c>
      <c r="BO494" s="4">
        <v>5</v>
      </c>
      <c r="BP494" s="8">
        <v>90.65</v>
      </c>
      <c r="BQ494" s="4"/>
      <c r="BR494" s="8"/>
      <c r="BS494" s="7"/>
      <c r="BT494" s="7"/>
      <c r="BU494" s="2" t="s">
        <v>107</v>
      </c>
      <c r="BV494" s="2" t="s">
        <v>108</v>
      </c>
      <c r="BW494" s="2" t="s">
        <v>570</v>
      </c>
      <c r="BX494" s="2" t="s">
        <v>1715</v>
      </c>
      <c r="BY494" s="2" t="s">
        <v>111</v>
      </c>
    </row>
    <row r="495">
      <c r="A495" s="2" t="s">
        <v>1716</v>
      </c>
      <c r="B495" s="2" t="s">
        <v>86</v>
      </c>
      <c r="C495" s="2" t="s">
        <v>87</v>
      </c>
      <c r="D495" s="2" t="s">
        <v>88</v>
      </c>
      <c r="E495" s="2" t="s">
        <v>1676</v>
      </c>
      <c r="F495" s="2" t="s">
        <v>1291</v>
      </c>
      <c r="G495" s="2" t="s">
        <v>823</v>
      </c>
      <c r="H495" s="2" t="s">
        <v>1292</v>
      </c>
      <c r="I495" s="2" t="s">
        <v>1713</v>
      </c>
      <c r="J495" s="2" t="s">
        <v>1678</v>
      </c>
      <c r="K495" s="2" t="s">
        <v>94</v>
      </c>
      <c r="L495" s="3">
        <v>14.85</v>
      </c>
      <c r="M495" s="3">
        <v>15.59</v>
      </c>
      <c r="N495" s="3">
        <v>32.99</v>
      </c>
      <c r="O495" s="2" t="s">
        <v>95</v>
      </c>
      <c r="P495" s="2" t="s">
        <v>215</v>
      </c>
      <c r="Q495" s="2" t="s">
        <v>97</v>
      </c>
      <c r="R495" s="2" t="s">
        <v>98</v>
      </c>
      <c r="S495" s="2" t="s">
        <v>1318</v>
      </c>
      <c r="T495" s="2" t="s">
        <v>98</v>
      </c>
      <c r="U495" s="2" t="s">
        <v>100</v>
      </c>
      <c r="V495" s="2" t="s">
        <v>762</v>
      </c>
      <c r="W495" s="2" t="s">
        <v>102</v>
      </c>
      <c r="X495" s="2" t="s">
        <v>335</v>
      </c>
      <c r="Y495" s="2" t="s">
        <v>1295</v>
      </c>
      <c r="Z495" s="4">
        <v>135</v>
      </c>
      <c r="AA495" s="4">
        <f>=ROUNDDOWN(27,0)</f>
      </c>
      <c r="AB495" s="5">
        <v>5</v>
      </c>
      <c r="AC495" s="2" t="s">
        <v>98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4</v>
      </c>
      <c r="AQ495" s="8">
        <v>62.04</v>
      </c>
      <c r="AR495" s="4"/>
      <c r="AS495" s="8"/>
      <c r="AT495" s="7"/>
      <c r="AU495" s="7"/>
      <c r="AV495" s="4">
        <v>8</v>
      </c>
      <c r="AW495" s="8">
        <v>134.56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0.4611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0.3824</v>
      </c>
      <c r="BJ495" s="4">
        <v>116</v>
      </c>
      <c r="BK495" s="8">
        <v>1818.4</v>
      </c>
      <c r="BL495" s="2" t="s">
        <v>351</v>
      </c>
      <c r="BM495" s="7">
        <v>0.0345</v>
      </c>
      <c r="BN495" s="7">
        <v>0.0341</v>
      </c>
      <c r="BO495" s="4">
        <v>4</v>
      </c>
      <c r="BP495" s="8">
        <v>62.04</v>
      </c>
      <c r="BQ495" s="4"/>
      <c r="BR495" s="8"/>
      <c r="BS495" s="7"/>
      <c r="BT495" s="7"/>
      <c r="BU495" s="2" t="s">
        <v>107</v>
      </c>
      <c r="BV495" s="2" t="s">
        <v>108</v>
      </c>
      <c r="BW495" s="2" t="s">
        <v>570</v>
      </c>
      <c r="BX495" s="2" t="s">
        <v>1717</v>
      </c>
      <c r="BY495" s="2" t="s">
        <v>111</v>
      </c>
    </row>
    <row r="496">
      <c r="A496" s="2" t="s">
        <v>1718</v>
      </c>
      <c r="B496" s="2" t="s">
        <v>86</v>
      </c>
      <c r="C496" s="2" t="s">
        <v>87</v>
      </c>
      <c r="D496" s="2" t="s">
        <v>88</v>
      </c>
      <c r="E496" s="2" t="s">
        <v>1676</v>
      </c>
      <c r="F496" s="2" t="s">
        <v>1291</v>
      </c>
      <c r="G496" s="2" t="s">
        <v>823</v>
      </c>
      <c r="H496" s="2" t="s">
        <v>1292</v>
      </c>
      <c r="I496" s="2" t="s">
        <v>1713</v>
      </c>
      <c r="J496" s="2" t="s">
        <v>1680</v>
      </c>
      <c r="K496" s="2" t="s">
        <v>94</v>
      </c>
      <c r="L496" s="3">
        <v>17.02</v>
      </c>
      <c r="M496" s="3">
        <v>17.87</v>
      </c>
      <c r="N496" s="3">
        <v>36.99</v>
      </c>
      <c r="O496" s="2" t="s">
        <v>95</v>
      </c>
      <c r="P496" s="2" t="s">
        <v>215</v>
      </c>
      <c r="Q496" s="2" t="s">
        <v>97</v>
      </c>
      <c r="R496" s="2" t="s">
        <v>98</v>
      </c>
      <c r="S496" s="2" t="s">
        <v>1318</v>
      </c>
      <c r="T496" s="2" t="s">
        <v>98</v>
      </c>
      <c r="U496" s="2" t="s">
        <v>100</v>
      </c>
      <c r="V496" s="2" t="s">
        <v>762</v>
      </c>
      <c r="W496" s="2" t="s">
        <v>102</v>
      </c>
      <c r="X496" s="2" t="s">
        <v>335</v>
      </c>
      <c r="Y496" s="2" t="s">
        <v>1295</v>
      </c>
      <c r="Z496" s="4">
        <v>45</v>
      </c>
      <c r="AA496" s="4">
        <f>=ROUNDDOWN(7.5,0)</f>
      </c>
      <c r="AB496" s="5">
        <v>6</v>
      </c>
      <c r="AC496" s="2" t="s">
        <v>98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4</v>
      </c>
      <c r="AQ496" s="8">
        <v>72.52</v>
      </c>
      <c r="AR496" s="4"/>
      <c r="AS496" s="8"/>
      <c r="AT496" s="7"/>
      <c r="AU496" s="7"/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0.5389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>
        <v>117</v>
      </c>
      <c r="BK496" s="8">
        <v>2106.24</v>
      </c>
      <c r="BL496" s="2" t="s">
        <v>398</v>
      </c>
      <c r="BM496" s="7">
        <v>0.0342</v>
      </c>
      <c r="BN496" s="7">
        <v>0.0344</v>
      </c>
      <c r="BO496" s="4">
        <v>4</v>
      </c>
      <c r="BP496" s="8">
        <v>72.52</v>
      </c>
      <c r="BQ496" s="4"/>
      <c r="BR496" s="8"/>
      <c r="BS496" s="7"/>
      <c r="BT496" s="7"/>
      <c r="BU496" s="2" t="s">
        <v>107</v>
      </c>
      <c r="BV496" s="2" t="s">
        <v>108</v>
      </c>
      <c r="BW496" s="2" t="s">
        <v>570</v>
      </c>
      <c r="BX496" s="2" t="s">
        <v>1719</v>
      </c>
      <c r="BY496" s="2" t="s">
        <v>111</v>
      </c>
    </row>
    <row r="497">
      <c r="A497" s="2" t="s">
        <v>1720</v>
      </c>
      <c r="B497" s="2" t="s">
        <v>86</v>
      </c>
      <c r="C497" s="2" t="s">
        <v>87</v>
      </c>
      <c r="D497" s="2" t="s">
        <v>88</v>
      </c>
      <c r="E497" s="2" t="s">
        <v>1676</v>
      </c>
      <c r="F497" s="2" t="s">
        <v>1291</v>
      </c>
      <c r="G497" s="2" t="s">
        <v>823</v>
      </c>
      <c r="H497" s="2" t="s">
        <v>1292</v>
      </c>
      <c r="I497" s="2" t="s">
        <v>1713</v>
      </c>
      <c r="J497" s="2" t="s">
        <v>1678</v>
      </c>
      <c r="K497" s="2" t="s">
        <v>458</v>
      </c>
      <c r="L497" s="3">
        <v>14.85</v>
      </c>
      <c r="M497" s="3">
        <v>15.59</v>
      </c>
      <c r="N497" s="3">
        <v>32.99</v>
      </c>
      <c r="O497" s="2" t="s">
        <v>95</v>
      </c>
      <c r="P497" s="2" t="s">
        <v>215</v>
      </c>
      <c r="Q497" s="2" t="s">
        <v>97</v>
      </c>
      <c r="R497" s="2" t="s">
        <v>98</v>
      </c>
      <c r="S497" s="2" t="s">
        <v>1294</v>
      </c>
      <c r="T497" s="2" t="s">
        <v>98</v>
      </c>
      <c r="U497" s="2" t="s">
        <v>100</v>
      </c>
      <c r="V497" s="2" t="s">
        <v>762</v>
      </c>
      <c r="W497" s="2" t="s">
        <v>102</v>
      </c>
      <c r="X497" s="2" t="s">
        <v>335</v>
      </c>
      <c r="Y497" s="2" t="s">
        <v>1295</v>
      </c>
      <c r="Z497" s="4">
        <v>19</v>
      </c>
      <c r="AA497" s="4">
        <f>=ROUNDDOWN(3.95833333333333,0)</f>
      </c>
      <c r="AB497" s="5">
        <v>4.8</v>
      </c>
      <c r="AC497" s="2" t="s">
        <v>98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4</v>
      </c>
      <c r="AQ497" s="8">
        <v>62.04</v>
      </c>
      <c r="AR497" s="4">
        <v>48</v>
      </c>
      <c r="AS497" s="8">
        <v>598.56</v>
      </c>
      <c r="AT497" s="7">
        <v>-0.9167</v>
      </c>
      <c r="AU497" s="7">
        <v>-0.8964</v>
      </c>
      <c r="AV497" s="4">
        <v>5</v>
      </c>
      <c r="AW497" s="8">
        <v>80.17</v>
      </c>
      <c r="AX497" s="4">
        <v>48</v>
      </c>
      <c r="AY497" s="8">
        <v>598.56</v>
      </c>
      <c r="AZ497" s="7">
        <v>-0.8958</v>
      </c>
      <c r="BA497" s="7">
        <v>-0.8661</v>
      </c>
      <c r="BB497" s="7">
        <v>0.7739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0.2278</v>
      </c>
      <c r="BJ497" s="4">
        <v>75</v>
      </c>
      <c r="BK497" s="8">
        <v>1166.24</v>
      </c>
      <c r="BL497" s="2" t="s">
        <v>362</v>
      </c>
      <c r="BM497" s="7">
        <v>0.0533</v>
      </c>
      <c r="BN497" s="7">
        <v>0.0532</v>
      </c>
      <c r="BO497" s="4">
        <v>4</v>
      </c>
      <c r="BP497" s="8">
        <v>62.04</v>
      </c>
      <c r="BQ497" s="4">
        <v>48</v>
      </c>
      <c r="BR497" s="8">
        <v>598.56</v>
      </c>
      <c r="BS497" s="7">
        <v>-0.9167</v>
      </c>
      <c r="BT497" s="7">
        <v>-0.8964</v>
      </c>
      <c r="BU497" s="2" t="s">
        <v>107</v>
      </c>
      <c r="BV497" s="2" t="s">
        <v>108</v>
      </c>
      <c r="BW497" s="2" t="s">
        <v>570</v>
      </c>
      <c r="BX497" s="2" t="s">
        <v>1297</v>
      </c>
      <c r="BY497" s="2" t="s">
        <v>111</v>
      </c>
    </row>
    <row r="498">
      <c r="A498" s="2" t="s">
        <v>1721</v>
      </c>
      <c r="B498" s="2" t="s">
        <v>86</v>
      </c>
      <c r="C498" s="2" t="s">
        <v>87</v>
      </c>
      <c r="D498" s="2" t="s">
        <v>88</v>
      </c>
      <c r="E498" s="2" t="s">
        <v>1676</v>
      </c>
      <c r="F498" s="2" t="s">
        <v>1291</v>
      </c>
      <c r="G498" s="2" t="s">
        <v>823</v>
      </c>
      <c r="H498" s="2" t="s">
        <v>1292</v>
      </c>
      <c r="I498" s="2" t="s">
        <v>1713</v>
      </c>
      <c r="J498" s="2" t="s">
        <v>1680</v>
      </c>
      <c r="K498" s="2" t="s">
        <v>458</v>
      </c>
      <c r="L498" s="3">
        <v>17.02</v>
      </c>
      <c r="M498" s="3">
        <v>17.87</v>
      </c>
      <c r="N498" s="3">
        <v>36.99</v>
      </c>
      <c r="O498" s="2" t="s">
        <v>95</v>
      </c>
      <c r="P498" s="2" t="s">
        <v>215</v>
      </c>
      <c r="Q498" s="2" t="s">
        <v>97</v>
      </c>
      <c r="R498" s="2" t="s">
        <v>98</v>
      </c>
      <c r="S498" s="2" t="s">
        <v>1294</v>
      </c>
      <c r="T498" s="2" t="s">
        <v>98</v>
      </c>
      <c r="U498" s="2" t="s">
        <v>100</v>
      </c>
      <c r="V498" s="2" t="s">
        <v>762</v>
      </c>
      <c r="W498" s="2" t="s">
        <v>102</v>
      </c>
      <c r="X498" s="2" t="s">
        <v>335</v>
      </c>
      <c r="Y498" s="2" t="s">
        <v>1295</v>
      </c>
      <c r="Z498" s="4">
        <v>21</v>
      </c>
      <c r="AA498" s="4">
        <f>=ROUNDDOWN(3.5,0)</f>
      </c>
      <c r="AB498" s="5">
        <v>6</v>
      </c>
      <c r="AC498" s="2" t="s">
        <v>98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1</v>
      </c>
      <c r="AQ498" s="8">
        <v>18.13</v>
      </c>
      <c r="AR498" s="4"/>
      <c r="AS498" s="8"/>
      <c r="AT498" s="7"/>
      <c r="AU498" s="7"/>
      <c r="AV498" s="4" t="s">
        <v>98</v>
      </c>
      <c r="AW498" s="8" t="s">
        <v>98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>
        <v>0.2261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 t="s">
        <v>98</v>
      </c>
      <c r="BJ498" s="4">
        <v>70</v>
      </c>
      <c r="BK498" s="8">
        <v>1269.81</v>
      </c>
      <c r="BL498" s="2" t="s">
        <v>351</v>
      </c>
      <c r="BM498" s="7">
        <v>0.0143</v>
      </c>
      <c r="BN498" s="7">
        <v>0.0143</v>
      </c>
      <c r="BO498" s="4">
        <v>1</v>
      </c>
      <c r="BP498" s="8">
        <v>18.13</v>
      </c>
      <c r="BQ498" s="4"/>
      <c r="BR498" s="8"/>
      <c r="BS498" s="7"/>
      <c r="BT498" s="7"/>
      <c r="BU498" s="2" t="s">
        <v>107</v>
      </c>
      <c r="BV498" s="2" t="s">
        <v>108</v>
      </c>
      <c r="BW498" s="2" t="s">
        <v>570</v>
      </c>
      <c r="BX498" s="2" t="s">
        <v>1300</v>
      </c>
      <c r="BY498" s="2" t="s">
        <v>111</v>
      </c>
    </row>
    <row r="499">
      <c r="A499" s="2" t="s">
        <v>1722</v>
      </c>
      <c r="B499" s="2" t="s">
        <v>86</v>
      </c>
      <c r="C499" s="2" t="s">
        <v>87</v>
      </c>
      <c r="D499" s="2" t="s">
        <v>88</v>
      </c>
      <c r="E499" s="2" t="s">
        <v>1676</v>
      </c>
      <c r="F499" s="2" t="s">
        <v>1291</v>
      </c>
      <c r="G499" s="2" t="s">
        <v>823</v>
      </c>
      <c r="H499" s="2" t="s">
        <v>1292</v>
      </c>
      <c r="I499" s="2" t="s">
        <v>1713</v>
      </c>
      <c r="J499" s="2" t="s">
        <v>1678</v>
      </c>
      <c r="K499" s="2" t="s">
        <v>290</v>
      </c>
      <c r="L499" s="3">
        <v>14.85</v>
      </c>
      <c r="M499" s="3">
        <v>15.59</v>
      </c>
      <c r="N499" s="3">
        <v>32.99</v>
      </c>
      <c r="O499" s="2" t="s">
        <v>95</v>
      </c>
      <c r="P499" s="2" t="s">
        <v>215</v>
      </c>
      <c r="Q499" s="2" t="s">
        <v>97</v>
      </c>
      <c r="R499" s="2" t="s">
        <v>98</v>
      </c>
      <c r="S499" s="2" t="s">
        <v>1326</v>
      </c>
      <c r="T499" s="2" t="s">
        <v>98</v>
      </c>
      <c r="U499" s="2" t="s">
        <v>100</v>
      </c>
      <c r="V499" s="2" t="s">
        <v>762</v>
      </c>
      <c r="W499" s="2" t="s">
        <v>102</v>
      </c>
      <c r="X499" s="2" t="s">
        <v>335</v>
      </c>
      <c r="Y499" s="2" t="s">
        <v>1327</v>
      </c>
      <c r="Z499" s="4">
        <v>91</v>
      </c>
      <c r="AA499" s="4">
        <f>=ROUNDDOWN(15.1666666666667,0)</f>
      </c>
      <c r="AB499" s="5">
        <v>6</v>
      </c>
      <c r="AC499" s="2" t="s">
        <v>250</v>
      </c>
      <c r="AD499" s="4">
        <v>36</v>
      </c>
      <c r="AE499" s="4">
        <v>124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98</v>
      </c>
      <c r="AW499" s="8" t="s">
        <v>98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 t="s">
        <v>98</v>
      </c>
      <c r="BJ499" s="4">
        <v>47</v>
      </c>
      <c r="BK499" s="8">
        <v>731.98</v>
      </c>
      <c r="BL499" s="2" t="s">
        <v>919</v>
      </c>
      <c r="BM499" s="7"/>
      <c r="BN499" s="7"/>
      <c r="BO499" s="4"/>
      <c r="BP499" s="8"/>
      <c r="BQ499" s="4"/>
      <c r="BR499" s="8"/>
      <c r="BS499" s="7"/>
      <c r="BT499" s="7"/>
      <c r="BU499" s="2" t="s">
        <v>211</v>
      </c>
      <c r="BV499" s="2" t="s">
        <v>95</v>
      </c>
      <c r="BW499" s="2" t="s">
        <v>911</v>
      </c>
      <c r="BX499" s="2" t="s">
        <v>1723</v>
      </c>
      <c r="BY499" s="2" t="s">
        <v>111</v>
      </c>
    </row>
    <row r="500">
      <c r="A500" s="2" t="s">
        <v>1724</v>
      </c>
      <c r="B500" s="2" t="s">
        <v>86</v>
      </c>
      <c r="C500" s="2" t="s">
        <v>87</v>
      </c>
      <c r="D500" s="2" t="s">
        <v>88</v>
      </c>
      <c r="E500" s="2" t="s">
        <v>1676</v>
      </c>
      <c r="F500" s="2" t="s">
        <v>1291</v>
      </c>
      <c r="G500" s="2" t="s">
        <v>823</v>
      </c>
      <c r="H500" s="2" t="s">
        <v>1292</v>
      </c>
      <c r="I500" s="2" t="s">
        <v>1713</v>
      </c>
      <c r="J500" s="2" t="s">
        <v>1680</v>
      </c>
      <c r="K500" s="2" t="s">
        <v>290</v>
      </c>
      <c r="L500" s="3">
        <v>17.02</v>
      </c>
      <c r="M500" s="3">
        <v>17.87</v>
      </c>
      <c r="N500" s="3">
        <v>36.99</v>
      </c>
      <c r="O500" s="2" t="s">
        <v>95</v>
      </c>
      <c r="P500" s="2" t="s">
        <v>215</v>
      </c>
      <c r="Q500" s="2" t="s">
        <v>97</v>
      </c>
      <c r="R500" s="2" t="s">
        <v>98</v>
      </c>
      <c r="S500" s="2" t="s">
        <v>1326</v>
      </c>
      <c r="T500" s="2" t="s">
        <v>98</v>
      </c>
      <c r="U500" s="2" t="s">
        <v>100</v>
      </c>
      <c r="V500" s="2" t="s">
        <v>762</v>
      </c>
      <c r="W500" s="2" t="s">
        <v>102</v>
      </c>
      <c r="X500" s="2" t="s">
        <v>335</v>
      </c>
      <c r="Y500" s="2" t="s">
        <v>1327</v>
      </c>
      <c r="Z500" s="4">
        <v>94</v>
      </c>
      <c r="AA500" s="4">
        <f>=ROUNDDOWN(23.5,0)</f>
      </c>
      <c r="AB500" s="5">
        <v>4</v>
      </c>
      <c r="AC500" s="2" t="s">
        <v>250</v>
      </c>
      <c r="AD500" s="4">
        <v>96</v>
      </c>
      <c r="AE500" s="4">
        <v>164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98</v>
      </c>
      <c r="AW500" s="8" t="s">
        <v>98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 t="s">
        <v>98</v>
      </c>
      <c r="BJ500" s="4">
        <v>61</v>
      </c>
      <c r="BK500" s="8">
        <v>1077.37</v>
      </c>
      <c r="BL500" s="2" t="s">
        <v>910</v>
      </c>
      <c r="BM500" s="7"/>
      <c r="BN500" s="7"/>
      <c r="BO500" s="4"/>
      <c r="BP500" s="8"/>
      <c r="BQ500" s="4"/>
      <c r="BR500" s="8"/>
      <c r="BS500" s="7"/>
      <c r="BT500" s="7"/>
      <c r="BU500" s="2" t="s">
        <v>211</v>
      </c>
      <c r="BV500" s="2" t="s">
        <v>95</v>
      </c>
      <c r="BW500" s="2" t="s">
        <v>911</v>
      </c>
      <c r="BX500" s="2" t="s">
        <v>1725</v>
      </c>
      <c r="BY500" s="2" t="s">
        <v>111</v>
      </c>
    </row>
    <row r="501">
      <c r="A501" s="2" t="s">
        <v>1726</v>
      </c>
      <c r="B501" s="2" t="s">
        <v>86</v>
      </c>
      <c r="C501" s="2" t="s">
        <v>87</v>
      </c>
      <c r="D501" s="2" t="s">
        <v>88</v>
      </c>
      <c r="E501" s="2" t="s">
        <v>1727</v>
      </c>
      <c r="F501" s="2" t="s">
        <v>1728</v>
      </c>
      <c r="G501" s="2" t="s">
        <v>1729</v>
      </c>
      <c r="H501" s="2" t="s">
        <v>1730</v>
      </c>
      <c r="I501" s="2" t="s">
        <v>1731</v>
      </c>
      <c r="J501" s="2" t="s">
        <v>1732</v>
      </c>
      <c r="K501" s="2" t="s">
        <v>299</v>
      </c>
      <c r="L501" s="3">
        <v>20.7</v>
      </c>
      <c r="M501" s="3">
        <v>21.74</v>
      </c>
      <c r="N501" s="3">
        <v>44.99</v>
      </c>
      <c r="O501" s="2" t="s">
        <v>368</v>
      </c>
      <c r="P501" s="2" t="s">
        <v>215</v>
      </c>
      <c r="Q501" s="2" t="s">
        <v>97</v>
      </c>
      <c r="R501" s="2" t="s">
        <v>98</v>
      </c>
      <c r="S501" s="2" t="s">
        <v>1733</v>
      </c>
      <c r="T501" s="2" t="s">
        <v>98</v>
      </c>
      <c r="U501" s="2" t="s">
        <v>98</v>
      </c>
      <c r="V501" s="2" t="s">
        <v>101</v>
      </c>
      <c r="W501" s="2" t="s">
        <v>567</v>
      </c>
      <c r="X501" s="2" t="s">
        <v>98</v>
      </c>
      <c r="Y501" s="2" t="s">
        <v>104</v>
      </c>
      <c r="Z501" s="4">
        <v>3</v>
      </c>
      <c r="AA501" s="4">
        <f>=ROUNDDOWN(0.461538461538462,0)</f>
      </c>
      <c r="AB501" s="5">
        <v>6.5</v>
      </c>
      <c r="AC501" s="2" t="s">
        <v>98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10</v>
      </c>
      <c r="AQ501" s="8">
        <v>112.5</v>
      </c>
      <c r="AR501" s="4">
        <v>14</v>
      </c>
      <c r="AS501" s="8">
        <v>266.7</v>
      </c>
      <c r="AT501" s="7">
        <v>-0.2857</v>
      </c>
      <c r="AU501" s="7">
        <v>-0.5782</v>
      </c>
      <c r="AV501" s="4">
        <v>21</v>
      </c>
      <c r="AW501" s="8">
        <v>272.5</v>
      </c>
      <c r="AX501" s="4">
        <v>14</v>
      </c>
      <c r="AY501" s="8">
        <v>266.7</v>
      </c>
      <c r="AZ501" s="7">
        <v>0.5</v>
      </c>
      <c r="BA501" s="7">
        <v>0.0217</v>
      </c>
      <c r="BB501" s="7">
        <v>0.4128</v>
      </c>
      <c r="BC501" s="4">
        <v>49</v>
      </c>
      <c r="BD501" s="8">
        <v>613.75</v>
      </c>
      <c r="BE501" s="4">
        <v>28</v>
      </c>
      <c r="BF501" s="8">
        <v>533.4</v>
      </c>
      <c r="BG501" s="7">
        <v>0.75</v>
      </c>
      <c r="BH501" s="7">
        <v>0.1506</v>
      </c>
      <c r="BI501" s="7">
        <v>0.444</v>
      </c>
      <c r="BJ501" s="4">
        <v>83</v>
      </c>
      <c r="BK501" s="8">
        <v>1115.24</v>
      </c>
      <c r="BL501" s="2" t="s">
        <v>1734</v>
      </c>
      <c r="BM501" s="7">
        <v>0.1205</v>
      </c>
      <c r="BN501" s="7">
        <v>0.1009</v>
      </c>
      <c r="BO501" s="4">
        <v>10</v>
      </c>
      <c r="BP501" s="8">
        <v>112.5</v>
      </c>
      <c r="BQ501" s="4">
        <v>14</v>
      </c>
      <c r="BR501" s="8">
        <v>266.7</v>
      </c>
      <c r="BS501" s="7">
        <v>-0.2857</v>
      </c>
      <c r="BT501" s="7">
        <v>-0.5782</v>
      </c>
      <c r="BU501" s="2" t="s">
        <v>211</v>
      </c>
      <c r="BV501" s="2" t="s">
        <v>352</v>
      </c>
      <c r="BW501" s="2" t="s">
        <v>1735</v>
      </c>
      <c r="BX501" s="2" t="s">
        <v>1736</v>
      </c>
      <c r="BY501" s="2" t="s">
        <v>354</v>
      </c>
    </row>
    <row r="502">
      <c r="A502" s="2" t="s">
        <v>1737</v>
      </c>
      <c r="B502" s="2" t="s">
        <v>86</v>
      </c>
      <c r="C502" s="2" t="s">
        <v>87</v>
      </c>
      <c r="D502" s="2" t="s">
        <v>88</v>
      </c>
      <c r="E502" s="2" t="s">
        <v>1727</v>
      </c>
      <c r="F502" s="2" t="s">
        <v>1728</v>
      </c>
      <c r="G502" s="2" t="s">
        <v>1729</v>
      </c>
      <c r="H502" s="2" t="s">
        <v>1730</v>
      </c>
      <c r="I502" s="2" t="s">
        <v>1731</v>
      </c>
      <c r="J502" s="2" t="s">
        <v>1738</v>
      </c>
      <c r="K502" s="2" t="s">
        <v>299</v>
      </c>
      <c r="L502" s="3">
        <v>23.5</v>
      </c>
      <c r="M502" s="3">
        <v>24.68</v>
      </c>
      <c r="N502" s="3">
        <v>49.99</v>
      </c>
      <c r="O502" s="2" t="s">
        <v>241</v>
      </c>
      <c r="P502" s="2" t="s">
        <v>215</v>
      </c>
      <c r="Q502" s="2" t="s">
        <v>97</v>
      </c>
      <c r="R502" s="2" t="s">
        <v>98</v>
      </c>
      <c r="S502" s="2" t="s">
        <v>1733</v>
      </c>
      <c r="T502" s="2" t="s">
        <v>98</v>
      </c>
      <c r="U502" s="2" t="s">
        <v>98</v>
      </c>
      <c r="V502" s="2" t="s">
        <v>101</v>
      </c>
      <c r="W502" s="2" t="s">
        <v>567</v>
      </c>
      <c r="X502" s="2" t="s">
        <v>98</v>
      </c>
      <c r="Y502" s="2" t="s">
        <v>104</v>
      </c>
      <c r="Z502" s="4">
        <v>2</v>
      </c>
      <c r="AA502" s="4">
        <f>=ROUNDDOWN(0.0420168067226891,0)</f>
      </c>
      <c r="AB502" s="5">
        <v>47.6</v>
      </c>
      <c r="AC502" s="2" t="s">
        <v>98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2</v>
      </c>
      <c r="AQ502" s="8">
        <v>25</v>
      </c>
      <c r="AR502" s="4"/>
      <c r="AS502" s="8"/>
      <c r="AT502" s="7"/>
      <c r="AU502" s="7"/>
      <c r="AV502" s="4" t="s">
        <v>98</v>
      </c>
      <c r="AW502" s="8" t="s">
        <v>98</v>
      </c>
      <c r="AX502" s="4" t="s">
        <v>98</v>
      </c>
      <c r="AY502" s="8" t="s">
        <v>98</v>
      </c>
      <c r="AZ502" s="7" t="s">
        <v>98</v>
      </c>
      <c r="BA502" s="7" t="s">
        <v>98</v>
      </c>
      <c r="BB502" s="7">
        <v>0.0917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 t="s">
        <v>98</v>
      </c>
      <c r="BJ502" s="4">
        <v>44</v>
      </c>
      <c r="BK502" s="8">
        <v>812.18</v>
      </c>
      <c r="BL502" s="2" t="s">
        <v>1739</v>
      </c>
      <c r="BM502" s="7">
        <v>0.0455</v>
      </c>
      <c r="BN502" s="7">
        <v>0.0308</v>
      </c>
      <c r="BO502" s="4">
        <v>2</v>
      </c>
      <c r="BP502" s="8">
        <v>25</v>
      </c>
      <c r="BQ502" s="4"/>
      <c r="BR502" s="8"/>
      <c r="BS502" s="7"/>
      <c r="BT502" s="7"/>
      <c r="BU502" s="2" t="s">
        <v>211</v>
      </c>
      <c r="BV502" s="2" t="s">
        <v>352</v>
      </c>
      <c r="BW502" s="2" t="s">
        <v>1735</v>
      </c>
      <c r="BX502" s="2" t="s">
        <v>1223</v>
      </c>
      <c r="BY502" s="2" t="s">
        <v>354</v>
      </c>
    </row>
    <row r="503">
      <c r="A503" s="2" t="s">
        <v>1740</v>
      </c>
      <c r="B503" s="2" t="s">
        <v>86</v>
      </c>
      <c r="C503" s="2" t="s">
        <v>87</v>
      </c>
      <c r="D503" s="2" t="s">
        <v>88</v>
      </c>
      <c r="E503" s="2" t="s">
        <v>1727</v>
      </c>
      <c r="F503" s="2" t="s">
        <v>1728</v>
      </c>
      <c r="G503" s="2" t="s">
        <v>1729</v>
      </c>
      <c r="H503" s="2" t="s">
        <v>1730</v>
      </c>
      <c r="I503" s="2" t="s">
        <v>1731</v>
      </c>
      <c r="J503" s="2" t="s">
        <v>1741</v>
      </c>
      <c r="K503" s="2" t="s">
        <v>299</v>
      </c>
      <c r="L503" s="3">
        <v>28.2</v>
      </c>
      <c r="M503" s="3">
        <v>29.61</v>
      </c>
      <c r="N503" s="3">
        <v>59.99</v>
      </c>
      <c r="O503" s="2" t="s">
        <v>241</v>
      </c>
      <c r="P503" s="2" t="s">
        <v>215</v>
      </c>
      <c r="Q503" s="2" t="s">
        <v>97</v>
      </c>
      <c r="R503" s="2" t="s">
        <v>98</v>
      </c>
      <c r="S503" s="2" t="s">
        <v>1742</v>
      </c>
      <c r="T503" s="2" t="s">
        <v>98</v>
      </c>
      <c r="U503" s="2" t="s">
        <v>100</v>
      </c>
      <c r="V503" s="2" t="s">
        <v>101</v>
      </c>
      <c r="W503" s="2" t="s">
        <v>567</v>
      </c>
      <c r="X503" s="2" t="s">
        <v>98</v>
      </c>
      <c r="Y503" s="2" t="s">
        <v>654</v>
      </c>
      <c r="Z503" s="4">
        <v>6</v>
      </c>
      <c r="AA503" s="4">
        <f>=ROUNDDOWN(0.397350993377483,0)</f>
      </c>
      <c r="AB503" s="5">
        <v>15.1</v>
      </c>
      <c r="AC503" s="2" t="s">
        <v>98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9</v>
      </c>
      <c r="AQ503" s="8">
        <v>135</v>
      </c>
      <c r="AR503" s="4"/>
      <c r="AS503" s="8"/>
      <c r="AT503" s="7"/>
      <c r="AU503" s="7"/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>
        <v>0.4954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 t="s">
        <v>98</v>
      </c>
      <c r="BJ503" s="4">
        <v>26</v>
      </c>
      <c r="BK503" s="8">
        <v>420.83</v>
      </c>
      <c r="BL503" s="2" t="s">
        <v>1743</v>
      </c>
      <c r="BM503" s="7">
        <v>0.3462</v>
      </c>
      <c r="BN503" s="7">
        <v>0.3208</v>
      </c>
      <c r="BO503" s="4">
        <v>9</v>
      </c>
      <c r="BP503" s="8">
        <v>135</v>
      </c>
      <c r="BQ503" s="4"/>
      <c r="BR503" s="8"/>
      <c r="BS503" s="7"/>
      <c r="BT503" s="7"/>
      <c r="BU503" s="2" t="s">
        <v>211</v>
      </c>
      <c r="BV503" s="2" t="s">
        <v>352</v>
      </c>
      <c r="BW503" s="2" t="s">
        <v>1735</v>
      </c>
      <c r="BX503" s="2" t="s">
        <v>1744</v>
      </c>
      <c r="BY503" s="2" t="s">
        <v>354</v>
      </c>
    </row>
    <row r="504">
      <c r="A504" s="2" t="s">
        <v>1745</v>
      </c>
      <c r="B504" s="2" t="s">
        <v>86</v>
      </c>
      <c r="C504" s="2" t="s">
        <v>87</v>
      </c>
      <c r="D504" s="2" t="s">
        <v>88</v>
      </c>
      <c r="E504" s="2" t="s">
        <v>1727</v>
      </c>
      <c r="F504" s="2" t="s">
        <v>1728</v>
      </c>
      <c r="G504" s="2" t="s">
        <v>1729</v>
      </c>
      <c r="H504" s="2" t="s">
        <v>1730</v>
      </c>
      <c r="I504" s="2" t="s">
        <v>1731</v>
      </c>
      <c r="J504" s="2" t="s">
        <v>1732</v>
      </c>
      <c r="K504" s="2" t="s">
        <v>551</v>
      </c>
      <c r="L504" s="3">
        <v>20.7</v>
      </c>
      <c r="M504" s="3">
        <v>21.74</v>
      </c>
      <c r="N504" s="3">
        <v>44.99</v>
      </c>
      <c r="O504" s="2" t="s">
        <v>368</v>
      </c>
      <c r="P504" s="2" t="s">
        <v>215</v>
      </c>
      <c r="Q504" s="2" t="s">
        <v>97</v>
      </c>
      <c r="R504" s="2" t="s">
        <v>98</v>
      </c>
      <c r="S504" s="2" t="s">
        <v>1746</v>
      </c>
      <c r="T504" s="2" t="s">
        <v>98</v>
      </c>
      <c r="U504" s="2" t="s">
        <v>98</v>
      </c>
      <c r="V504" s="2" t="s">
        <v>101</v>
      </c>
      <c r="W504" s="2" t="s">
        <v>567</v>
      </c>
      <c r="X504" s="2" t="s">
        <v>98</v>
      </c>
      <c r="Y504" s="2" t="s">
        <v>104</v>
      </c>
      <c r="Z504" s="4"/>
      <c r="AA504" s="4">
        <f>=ROUNDDOWN({0},0)</f>
      </c>
      <c r="AB504" s="5">
        <v>4.8</v>
      </c>
      <c r="AC504" s="2" t="s">
        <v>98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7</v>
      </c>
      <c r="AQ504" s="8">
        <v>78.75</v>
      </c>
      <c r="AR504" s="4">
        <v>10</v>
      </c>
      <c r="AS504" s="8">
        <v>190.5</v>
      </c>
      <c r="AT504" s="7">
        <v>-0.3</v>
      </c>
      <c r="AU504" s="7">
        <v>-0.5866</v>
      </c>
      <c r="AV504" s="4">
        <v>22</v>
      </c>
      <c r="AW504" s="8">
        <v>266.25</v>
      </c>
      <c r="AX504" s="4">
        <v>10</v>
      </c>
      <c r="AY504" s="8">
        <v>190.5</v>
      </c>
      <c r="AZ504" s="7">
        <v>1.2</v>
      </c>
      <c r="BA504" s="7">
        <v>0.3976</v>
      </c>
      <c r="BB504" s="7">
        <v>0.2958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0.4338</v>
      </c>
      <c r="BJ504" s="4">
        <v>62</v>
      </c>
      <c r="BK504" s="8">
        <v>814.92</v>
      </c>
      <c r="BL504" s="2" t="s">
        <v>1747</v>
      </c>
      <c r="BM504" s="7">
        <v>0.1129</v>
      </c>
      <c r="BN504" s="7">
        <v>0.0966</v>
      </c>
      <c r="BO504" s="4">
        <v>7</v>
      </c>
      <c r="BP504" s="8">
        <v>78.75</v>
      </c>
      <c r="BQ504" s="4">
        <v>10</v>
      </c>
      <c r="BR504" s="8">
        <v>190.5</v>
      </c>
      <c r="BS504" s="7">
        <v>-0.3</v>
      </c>
      <c r="BT504" s="7">
        <v>-0.5866</v>
      </c>
      <c r="BU504" s="2" t="s">
        <v>211</v>
      </c>
      <c r="BV504" s="2" t="s">
        <v>352</v>
      </c>
      <c r="BW504" s="2" t="s">
        <v>1735</v>
      </c>
      <c r="BX504" s="2" t="s">
        <v>693</v>
      </c>
      <c r="BY504" s="2" t="s">
        <v>354</v>
      </c>
    </row>
    <row r="505">
      <c r="A505" s="2" t="s">
        <v>1748</v>
      </c>
      <c r="B505" s="2" t="s">
        <v>86</v>
      </c>
      <c r="C505" s="2" t="s">
        <v>87</v>
      </c>
      <c r="D505" s="2" t="s">
        <v>88</v>
      </c>
      <c r="E505" s="2" t="s">
        <v>1727</v>
      </c>
      <c r="F505" s="2" t="s">
        <v>1728</v>
      </c>
      <c r="G505" s="2" t="s">
        <v>1729</v>
      </c>
      <c r="H505" s="2" t="s">
        <v>1730</v>
      </c>
      <c r="I505" s="2" t="s">
        <v>1731</v>
      </c>
      <c r="J505" s="2" t="s">
        <v>1738</v>
      </c>
      <c r="K505" s="2" t="s">
        <v>551</v>
      </c>
      <c r="L505" s="3">
        <v>23.5</v>
      </c>
      <c r="M505" s="3">
        <v>24.68</v>
      </c>
      <c r="N505" s="3">
        <v>49.99</v>
      </c>
      <c r="O505" s="2" t="s">
        <v>368</v>
      </c>
      <c r="P505" s="2" t="s">
        <v>215</v>
      </c>
      <c r="Q505" s="2" t="s">
        <v>97</v>
      </c>
      <c r="R505" s="2" t="s">
        <v>98</v>
      </c>
      <c r="S505" s="2" t="s">
        <v>1746</v>
      </c>
      <c r="T505" s="2" t="s">
        <v>98</v>
      </c>
      <c r="U505" s="2" t="s">
        <v>98</v>
      </c>
      <c r="V505" s="2" t="s">
        <v>101</v>
      </c>
      <c r="W505" s="2" t="s">
        <v>567</v>
      </c>
      <c r="X505" s="2" t="s">
        <v>98</v>
      </c>
      <c r="Y505" s="2" t="s">
        <v>104</v>
      </c>
      <c r="Z505" s="4">
        <v>2</v>
      </c>
      <c r="AA505" s="4">
        <f>=ROUNDDOWN(0.454545454545455,0)</f>
      </c>
      <c r="AB505" s="5">
        <v>4.4</v>
      </c>
      <c r="AC505" s="2" t="s">
        <v>98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15</v>
      </c>
      <c r="AQ505" s="8">
        <v>187.5</v>
      </c>
      <c r="AR505" s="4"/>
      <c r="AS505" s="8"/>
      <c r="AT505" s="7"/>
      <c r="AU505" s="7"/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>
        <v>0.7042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57</v>
      </c>
      <c r="BK505" s="8">
        <v>880.32</v>
      </c>
      <c r="BL505" s="2" t="s">
        <v>1749</v>
      </c>
      <c r="BM505" s="7">
        <v>0.2632</v>
      </c>
      <c r="BN505" s="7">
        <v>0.213</v>
      </c>
      <c r="BO505" s="4">
        <v>15</v>
      </c>
      <c r="BP505" s="8">
        <v>187.5</v>
      </c>
      <c r="BQ505" s="4"/>
      <c r="BR505" s="8"/>
      <c r="BS505" s="7"/>
      <c r="BT505" s="7"/>
      <c r="BU505" s="2" t="s">
        <v>211</v>
      </c>
      <c r="BV505" s="2" t="s">
        <v>352</v>
      </c>
      <c r="BW505" s="2" t="s">
        <v>1735</v>
      </c>
      <c r="BX505" s="2" t="s">
        <v>1750</v>
      </c>
      <c r="BY505" s="2" t="s">
        <v>354</v>
      </c>
    </row>
    <row r="506">
      <c r="A506" s="2" t="s">
        <v>1751</v>
      </c>
      <c r="B506" s="2" t="s">
        <v>86</v>
      </c>
      <c r="C506" s="2" t="s">
        <v>87</v>
      </c>
      <c r="D506" s="2" t="s">
        <v>88</v>
      </c>
      <c r="E506" s="2" t="s">
        <v>1727</v>
      </c>
      <c r="F506" s="2" t="s">
        <v>1728</v>
      </c>
      <c r="G506" s="2" t="s">
        <v>1729</v>
      </c>
      <c r="H506" s="2" t="s">
        <v>1730</v>
      </c>
      <c r="I506" s="2" t="s">
        <v>1731</v>
      </c>
      <c r="J506" s="2" t="s">
        <v>1732</v>
      </c>
      <c r="K506" s="2" t="s">
        <v>997</v>
      </c>
      <c r="L506" s="3">
        <v>20.7</v>
      </c>
      <c r="M506" s="3">
        <v>21.74</v>
      </c>
      <c r="N506" s="3">
        <v>44.99</v>
      </c>
      <c r="O506" s="2" t="s">
        <v>368</v>
      </c>
      <c r="P506" s="2" t="s">
        <v>215</v>
      </c>
      <c r="Q506" s="2" t="s">
        <v>97</v>
      </c>
      <c r="R506" s="2" t="s">
        <v>98</v>
      </c>
      <c r="S506" s="2" t="s">
        <v>1752</v>
      </c>
      <c r="T506" s="2" t="s">
        <v>98</v>
      </c>
      <c r="U506" s="2" t="s">
        <v>98</v>
      </c>
      <c r="V506" s="2" t="s">
        <v>101</v>
      </c>
      <c r="W506" s="2" t="s">
        <v>567</v>
      </c>
      <c r="X506" s="2" t="s">
        <v>98</v>
      </c>
      <c r="Y506" s="2" t="s">
        <v>104</v>
      </c>
      <c r="Z506" s="4">
        <v>12</v>
      </c>
      <c r="AA506" s="4">
        <f>=ROUNDDOWN(24,0)</f>
      </c>
      <c r="AB506" s="5">
        <v>0.5</v>
      </c>
      <c r="AC506" s="2" t="s">
        <v>98</v>
      </c>
      <c r="AD506" s="4"/>
      <c r="AE506" s="4"/>
      <c r="AF506" s="6">
        <v>65</v>
      </c>
      <c r="AG506" s="6"/>
      <c r="AH506" s="7">
        <v>0.5778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>
        <v>4</v>
      </c>
      <c r="AS506" s="8">
        <v>76.2</v>
      </c>
      <c r="AT506" s="7">
        <v>-1</v>
      </c>
      <c r="AU506" s="7">
        <v>-1</v>
      </c>
      <c r="AV506" s="4">
        <v>6</v>
      </c>
      <c r="AW506" s="8">
        <v>75</v>
      </c>
      <c r="AX506" s="4">
        <v>4</v>
      </c>
      <c r="AY506" s="8">
        <v>76.2</v>
      </c>
      <c r="AZ506" s="7">
        <v>0.5</v>
      </c>
      <c r="BA506" s="7">
        <v>-0.0157</v>
      </c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0.1222</v>
      </c>
      <c r="BJ506" s="4">
        <v>1</v>
      </c>
      <c r="BK506" s="8">
        <v>11.28</v>
      </c>
      <c r="BL506" s="2" t="s">
        <v>1753</v>
      </c>
      <c r="BM506" s="7"/>
      <c r="BN506" s="7"/>
      <c r="BO506" s="4"/>
      <c r="BP506" s="8"/>
      <c r="BQ506" s="4">
        <v>4</v>
      </c>
      <c r="BR506" s="8">
        <v>76.2</v>
      </c>
      <c r="BS506" s="7">
        <v>-1</v>
      </c>
      <c r="BT506" s="7">
        <v>-1</v>
      </c>
      <c r="BU506" s="2" t="s">
        <v>211</v>
      </c>
      <c r="BV506" s="2" t="s">
        <v>95</v>
      </c>
      <c r="BW506" s="2" t="s">
        <v>1735</v>
      </c>
      <c r="BX506" s="2" t="s">
        <v>1754</v>
      </c>
      <c r="BY506" s="2" t="s">
        <v>354</v>
      </c>
    </row>
    <row r="507">
      <c r="A507" s="2" t="s">
        <v>1755</v>
      </c>
      <c r="B507" s="2" t="s">
        <v>86</v>
      </c>
      <c r="C507" s="2" t="s">
        <v>87</v>
      </c>
      <c r="D507" s="2" t="s">
        <v>88</v>
      </c>
      <c r="E507" s="2" t="s">
        <v>1727</v>
      </c>
      <c r="F507" s="2" t="s">
        <v>1728</v>
      </c>
      <c r="G507" s="2" t="s">
        <v>1729</v>
      </c>
      <c r="H507" s="2" t="s">
        <v>1730</v>
      </c>
      <c r="I507" s="2" t="s">
        <v>1731</v>
      </c>
      <c r="J507" s="2" t="s">
        <v>1738</v>
      </c>
      <c r="K507" s="2" t="s">
        <v>997</v>
      </c>
      <c r="L507" s="3">
        <v>23.5</v>
      </c>
      <c r="M507" s="3">
        <v>24.68</v>
      </c>
      <c r="N507" s="3">
        <v>49.99</v>
      </c>
      <c r="O507" s="2" t="s">
        <v>241</v>
      </c>
      <c r="P507" s="2" t="s">
        <v>215</v>
      </c>
      <c r="Q507" s="2" t="s">
        <v>97</v>
      </c>
      <c r="R507" s="2" t="s">
        <v>98</v>
      </c>
      <c r="S507" s="2" t="s">
        <v>1752</v>
      </c>
      <c r="T507" s="2" t="s">
        <v>98</v>
      </c>
      <c r="U507" s="2" t="s">
        <v>98</v>
      </c>
      <c r="V507" s="2" t="s">
        <v>101</v>
      </c>
      <c r="W507" s="2" t="s">
        <v>567</v>
      </c>
      <c r="X507" s="2" t="s">
        <v>98</v>
      </c>
      <c r="Y507" s="2" t="s">
        <v>104</v>
      </c>
      <c r="Z507" s="4"/>
      <c r="AA507" s="4">
        <f>=ROUNDDOWN({0},0)</f>
      </c>
      <c r="AB507" s="5">
        <v>5.3</v>
      </c>
      <c r="AC507" s="2" t="s">
        <v>98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6</v>
      </c>
      <c r="AQ507" s="8">
        <v>75</v>
      </c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1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>
        <v>30</v>
      </c>
      <c r="BK507" s="8">
        <v>383.32</v>
      </c>
      <c r="BL507" s="2" t="s">
        <v>1756</v>
      </c>
      <c r="BM507" s="7">
        <v>0.2</v>
      </c>
      <c r="BN507" s="7">
        <v>0.1957</v>
      </c>
      <c r="BO507" s="4">
        <v>6</v>
      </c>
      <c r="BP507" s="8">
        <v>75</v>
      </c>
      <c r="BQ507" s="4"/>
      <c r="BR507" s="8"/>
      <c r="BS507" s="7"/>
      <c r="BT507" s="7"/>
      <c r="BU507" s="2" t="s">
        <v>211</v>
      </c>
      <c r="BV507" s="2" t="s">
        <v>352</v>
      </c>
      <c r="BW507" s="2" t="s">
        <v>1735</v>
      </c>
      <c r="BX507" s="2" t="s">
        <v>415</v>
      </c>
      <c r="BY507" s="2" t="s">
        <v>354</v>
      </c>
    </row>
    <row r="508">
      <c r="A508" s="2" t="s">
        <v>1757</v>
      </c>
      <c r="B508" s="2" t="s">
        <v>86</v>
      </c>
      <c r="C508" s="2" t="s">
        <v>87</v>
      </c>
      <c r="D508" s="2" t="s">
        <v>88</v>
      </c>
      <c r="E508" s="2" t="s">
        <v>1727</v>
      </c>
      <c r="F508" s="2" t="s">
        <v>1758</v>
      </c>
      <c r="G508" s="2" t="s">
        <v>1759</v>
      </c>
      <c r="H508" s="2" t="s">
        <v>1760</v>
      </c>
      <c r="I508" s="2" t="s">
        <v>1761</v>
      </c>
      <c r="J508" s="2" t="s">
        <v>1738</v>
      </c>
      <c r="K508" s="2" t="s">
        <v>323</v>
      </c>
      <c r="L508" s="3">
        <v>23.5</v>
      </c>
      <c r="M508" s="3">
        <v>24.68</v>
      </c>
      <c r="N508" s="3">
        <v>49.99</v>
      </c>
      <c r="O508" s="2" t="s">
        <v>368</v>
      </c>
      <c r="P508" s="2" t="s">
        <v>215</v>
      </c>
      <c r="Q508" s="2" t="s">
        <v>97</v>
      </c>
      <c r="R508" s="2" t="s">
        <v>98</v>
      </c>
      <c r="S508" s="2" t="s">
        <v>1762</v>
      </c>
      <c r="T508" s="2" t="s">
        <v>98</v>
      </c>
      <c r="U508" s="2" t="s">
        <v>98</v>
      </c>
      <c r="V508" s="2" t="s">
        <v>482</v>
      </c>
      <c r="W508" s="2" t="s">
        <v>567</v>
      </c>
      <c r="X508" s="2" t="s">
        <v>98</v>
      </c>
      <c r="Y508" s="2" t="s">
        <v>104</v>
      </c>
      <c r="Z508" s="4"/>
      <c r="AA508" s="4">
        <f>=ROUNDDOWN({0},0)</f>
      </c>
      <c r="AB508" s="5"/>
      <c r="AC508" s="2" t="s">
        <v>98</v>
      </c>
      <c r="AD508" s="4"/>
      <c r="AE508" s="4"/>
      <c r="AF508" s="6"/>
      <c r="AG508" s="6"/>
      <c r="AH508" s="7">
        <v>0.3667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>
        <v>10</v>
      </c>
      <c r="AS508" s="8">
        <v>214.3</v>
      </c>
      <c r="AT508" s="7">
        <v>-1</v>
      </c>
      <c r="AU508" s="7">
        <v>-1</v>
      </c>
      <c r="AV508" s="4"/>
      <c r="AW508" s="8"/>
      <c r="AX508" s="4">
        <v>10</v>
      </c>
      <c r="AY508" s="8">
        <v>214.3</v>
      </c>
      <c r="AZ508" s="7">
        <v>-1</v>
      </c>
      <c r="BA508" s="7">
        <v>-1</v>
      </c>
      <c r="BB508" s="7"/>
      <c r="BC508" s="4"/>
      <c r="BD508" s="8"/>
      <c r="BE508" s="4">
        <v>10</v>
      </c>
      <c r="BF508" s="8">
        <v>214.3</v>
      </c>
      <c r="BG508" s="7">
        <v>-1</v>
      </c>
      <c r="BH508" s="7">
        <v>-1</v>
      </c>
      <c r="BI508" s="7"/>
      <c r="BJ508" s="4"/>
      <c r="BK508" s="8"/>
      <c r="BL508" s="2" t="s">
        <v>1763</v>
      </c>
      <c r="BM508" s="7"/>
      <c r="BN508" s="7"/>
      <c r="BO508" s="4"/>
      <c r="BP508" s="8"/>
      <c r="BQ508" s="4">
        <v>10</v>
      </c>
      <c r="BR508" s="8">
        <v>214.3</v>
      </c>
      <c r="BS508" s="7">
        <v>-1</v>
      </c>
      <c r="BT508" s="7">
        <v>-1</v>
      </c>
      <c r="BU508" s="2" t="s">
        <v>211</v>
      </c>
      <c r="BV508" s="2" t="s">
        <v>352</v>
      </c>
      <c r="BW508" s="2" t="s">
        <v>1735</v>
      </c>
      <c r="BX508" s="2" t="s">
        <v>1764</v>
      </c>
      <c r="BY508" s="2" t="s">
        <v>111</v>
      </c>
    </row>
    <row r="509">
      <c r="A509" s="2" t="s">
        <v>1765</v>
      </c>
      <c r="B509" s="2" t="s">
        <v>86</v>
      </c>
      <c r="C509" s="2" t="s">
        <v>87</v>
      </c>
      <c r="D509" s="2" t="s">
        <v>88</v>
      </c>
      <c r="E509" s="2" t="s">
        <v>1727</v>
      </c>
      <c r="F509" s="2" t="s">
        <v>1766</v>
      </c>
      <c r="G509" s="2" t="s">
        <v>1767</v>
      </c>
      <c r="H509" s="2" t="s">
        <v>1768</v>
      </c>
      <c r="I509" s="2" t="s">
        <v>1769</v>
      </c>
      <c r="J509" s="2" t="s">
        <v>1741</v>
      </c>
      <c r="K509" s="2" t="s">
        <v>464</v>
      </c>
      <c r="L509" s="3">
        <v>28.2</v>
      </c>
      <c r="M509" s="3">
        <v>29.61</v>
      </c>
      <c r="N509" s="3">
        <v>59.99</v>
      </c>
      <c r="O509" s="2" t="s">
        <v>368</v>
      </c>
      <c r="P509" s="2" t="s">
        <v>215</v>
      </c>
      <c r="Q509" s="2" t="s">
        <v>97</v>
      </c>
      <c r="R509" s="2" t="s">
        <v>98</v>
      </c>
      <c r="S509" s="2" t="s">
        <v>1770</v>
      </c>
      <c r="T509" s="2" t="s">
        <v>98</v>
      </c>
      <c r="U509" s="2" t="s">
        <v>100</v>
      </c>
      <c r="V509" s="2" t="s">
        <v>1416</v>
      </c>
      <c r="W509" s="2" t="s">
        <v>567</v>
      </c>
      <c r="X509" s="2" t="s">
        <v>1249</v>
      </c>
      <c r="Y509" s="2" t="s">
        <v>1289</v>
      </c>
      <c r="Z509" s="4"/>
      <c r="AA509" s="4">
        <f>=ROUNDDOWN({0},0)</f>
      </c>
      <c r="AB509" s="5"/>
      <c r="AC509" s="2" t="s">
        <v>98</v>
      </c>
      <c r="AD509" s="4"/>
      <c r="AE509" s="4"/>
      <c r="AF509" s="6"/>
      <c r="AG509" s="6"/>
      <c r="AH509" s="7">
        <v>0.3667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>
        <v>8</v>
      </c>
      <c r="AS509" s="8">
        <v>198.4</v>
      </c>
      <c r="AT509" s="7">
        <v>-1</v>
      </c>
      <c r="AU509" s="7">
        <v>-1</v>
      </c>
      <c r="AV509" s="4"/>
      <c r="AW509" s="8"/>
      <c r="AX509" s="4">
        <v>8</v>
      </c>
      <c r="AY509" s="8">
        <v>198.4</v>
      </c>
      <c r="AZ509" s="7">
        <v>-1</v>
      </c>
      <c r="BA509" s="7">
        <v>-1</v>
      </c>
      <c r="BB509" s="7"/>
      <c r="BC509" s="4" t="s">
        <v>98</v>
      </c>
      <c r="BD509" s="8" t="s">
        <v>98</v>
      </c>
      <c r="BE509" s="4">
        <v>47</v>
      </c>
      <c r="BF509" s="8">
        <v>1096.81</v>
      </c>
      <c r="BG509" s="7" t="s">
        <v>98</v>
      </c>
      <c r="BH509" s="7" t="s">
        <v>98</v>
      </c>
      <c r="BI509" s="7"/>
      <c r="BJ509" s="4"/>
      <c r="BK509" s="8"/>
      <c r="BL509" s="2" t="s">
        <v>1771</v>
      </c>
      <c r="BM509" s="7"/>
      <c r="BN509" s="7"/>
      <c r="BO509" s="4"/>
      <c r="BP509" s="8"/>
      <c r="BQ509" s="4">
        <v>8</v>
      </c>
      <c r="BR509" s="8">
        <v>198.4</v>
      </c>
      <c r="BS509" s="7">
        <v>-1</v>
      </c>
      <c r="BT509" s="7">
        <v>-1</v>
      </c>
      <c r="BU509" s="2" t="s">
        <v>211</v>
      </c>
      <c r="BV509" s="2" t="s">
        <v>352</v>
      </c>
      <c r="BW509" s="2" t="s">
        <v>1735</v>
      </c>
      <c r="BX509" s="2" t="s">
        <v>1772</v>
      </c>
      <c r="BY509" s="2" t="s">
        <v>111</v>
      </c>
    </row>
    <row r="510">
      <c r="A510" s="2" t="s">
        <v>1773</v>
      </c>
      <c r="B510" s="2" t="s">
        <v>86</v>
      </c>
      <c r="C510" s="2" t="s">
        <v>87</v>
      </c>
      <c r="D510" s="2" t="s">
        <v>88</v>
      </c>
      <c r="E510" s="2" t="s">
        <v>1727</v>
      </c>
      <c r="F510" s="2" t="s">
        <v>1766</v>
      </c>
      <c r="G510" s="2" t="s">
        <v>1767</v>
      </c>
      <c r="H510" s="2" t="s">
        <v>1768</v>
      </c>
      <c r="I510" s="2" t="s">
        <v>1769</v>
      </c>
      <c r="J510" s="2" t="s">
        <v>1732</v>
      </c>
      <c r="K510" s="2" t="s">
        <v>530</v>
      </c>
      <c r="L510" s="3">
        <v>20.7</v>
      </c>
      <c r="M510" s="3">
        <v>21.74</v>
      </c>
      <c r="N510" s="3">
        <v>44.99</v>
      </c>
      <c r="O510" s="2" t="s">
        <v>241</v>
      </c>
      <c r="P510" s="2" t="s">
        <v>215</v>
      </c>
      <c r="Q510" s="2" t="s">
        <v>97</v>
      </c>
      <c r="R510" s="2" t="s">
        <v>98</v>
      </c>
      <c r="S510" s="2" t="s">
        <v>1774</v>
      </c>
      <c r="T510" s="2" t="s">
        <v>98</v>
      </c>
      <c r="U510" s="2" t="s">
        <v>98</v>
      </c>
      <c r="V510" s="2" t="s">
        <v>1416</v>
      </c>
      <c r="W510" s="2" t="s">
        <v>567</v>
      </c>
      <c r="X510" s="2" t="s">
        <v>1249</v>
      </c>
      <c r="Y510" s="2" t="s">
        <v>104</v>
      </c>
      <c r="Z510" s="4"/>
      <c r="AA510" s="4">
        <f>=ROUNDDOWN({0},0)</f>
      </c>
      <c r="AB510" s="5"/>
      <c r="AC510" s="2" t="s">
        <v>98</v>
      </c>
      <c r="AD510" s="4"/>
      <c r="AE510" s="4"/>
      <c r="AF510" s="6"/>
      <c r="AG510" s="6"/>
      <c r="AH510" s="7">
        <v>0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>
        <v>2</v>
      </c>
      <c r="AS510" s="8">
        <v>38.1</v>
      </c>
      <c r="AT510" s="7">
        <v>-1</v>
      </c>
      <c r="AU510" s="7">
        <v>-1</v>
      </c>
      <c r="AV510" s="4"/>
      <c r="AW510" s="8"/>
      <c r="AX510" s="4">
        <v>2</v>
      </c>
      <c r="AY510" s="8">
        <v>38.1</v>
      </c>
      <c r="AZ510" s="7">
        <v>-1</v>
      </c>
      <c r="BA510" s="7">
        <v>-1</v>
      </c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/>
      <c r="BK510" s="8"/>
      <c r="BL510" s="2" t="s">
        <v>1775</v>
      </c>
      <c r="BM510" s="7"/>
      <c r="BN510" s="7"/>
      <c r="BO510" s="4"/>
      <c r="BP510" s="8"/>
      <c r="BQ510" s="4">
        <v>2</v>
      </c>
      <c r="BR510" s="8">
        <v>38.1</v>
      </c>
      <c r="BS510" s="7">
        <v>-1</v>
      </c>
      <c r="BT510" s="7">
        <v>-1</v>
      </c>
      <c r="BU510" s="2" t="s">
        <v>211</v>
      </c>
      <c r="BV510" s="2" t="s">
        <v>352</v>
      </c>
      <c r="BW510" s="2" t="s">
        <v>1735</v>
      </c>
      <c r="BX510" s="2" t="s">
        <v>1776</v>
      </c>
      <c r="BY510" s="2" t="s">
        <v>111</v>
      </c>
    </row>
    <row r="511">
      <c r="A511" s="2" t="s">
        <v>1777</v>
      </c>
      <c r="B511" s="2" t="s">
        <v>86</v>
      </c>
      <c r="C511" s="2" t="s">
        <v>87</v>
      </c>
      <c r="D511" s="2" t="s">
        <v>88</v>
      </c>
      <c r="E511" s="2" t="s">
        <v>1727</v>
      </c>
      <c r="F511" s="2" t="s">
        <v>1766</v>
      </c>
      <c r="G511" s="2" t="s">
        <v>1767</v>
      </c>
      <c r="H511" s="2" t="s">
        <v>1768</v>
      </c>
      <c r="I511" s="2" t="s">
        <v>1769</v>
      </c>
      <c r="J511" s="2" t="s">
        <v>1738</v>
      </c>
      <c r="K511" s="2" t="s">
        <v>299</v>
      </c>
      <c r="L511" s="3">
        <v>23.5</v>
      </c>
      <c r="M511" s="3">
        <v>24.68</v>
      </c>
      <c r="N511" s="3">
        <v>49.99</v>
      </c>
      <c r="O511" s="2" t="s">
        <v>368</v>
      </c>
      <c r="P511" s="2" t="s">
        <v>215</v>
      </c>
      <c r="Q511" s="2" t="s">
        <v>97</v>
      </c>
      <c r="R511" s="2" t="s">
        <v>98</v>
      </c>
      <c r="S511" s="2" t="s">
        <v>1778</v>
      </c>
      <c r="T511" s="2" t="s">
        <v>98</v>
      </c>
      <c r="U511" s="2" t="s">
        <v>98</v>
      </c>
      <c r="V511" s="2" t="s">
        <v>1416</v>
      </c>
      <c r="W511" s="2" t="s">
        <v>567</v>
      </c>
      <c r="X511" s="2" t="s">
        <v>1249</v>
      </c>
      <c r="Y511" s="2" t="s">
        <v>104</v>
      </c>
      <c r="Z511" s="4"/>
      <c r="AA511" s="4">
        <f>=ROUNDDOWN({0},0)</f>
      </c>
      <c r="AB511" s="5"/>
      <c r="AC511" s="2" t="s">
        <v>98</v>
      </c>
      <c r="AD511" s="4"/>
      <c r="AE511" s="4"/>
      <c r="AF511" s="6"/>
      <c r="AG511" s="6"/>
      <c r="AH511" s="7">
        <v>0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>
        <v>17</v>
      </c>
      <c r="AS511" s="8">
        <v>364.31</v>
      </c>
      <c r="AT511" s="7">
        <v>-1</v>
      </c>
      <c r="AU511" s="7">
        <v>-1</v>
      </c>
      <c r="AV511" s="4" t="s">
        <v>98</v>
      </c>
      <c r="AW511" s="8" t="s">
        <v>98</v>
      </c>
      <c r="AX511" s="4">
        <v>37</v>
      </c>
      <c r="AY511" s="8">
        <v>860.31</v>
      </c>
      <c r="AZ511" s="7" t="s">
        <v>98</v>
      </c>
      <c r="BA511" s="7" t="s">
        <v>98</v>
      </c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/>
      <c r="BK511" s="8"/>
      <c r="BL511" s="2" t="s">
        <v>1779</v>
      </c>
      <c r="BM511" s="7"/>
      <c r="BN511" s="7"/>
      <c r="BO511" s="4"/>
      <c r="BP511" s="8"/>
      <c r="BQ511" s="4">
        <v>17</v>
      </c>
      <c r="BR511" s="8">
        <v>364.31</v>
      </c>
      <c r="BS511" s="7">
        <v>-1</v>
      </c>
      <c r="BT511" s="7">
        <v>-1</v>
      </c>
      <c r="BU511" s="2" t="s">
        <v>211</v>
      </c>
      <c r="BV511" s="2" t="s">
        <v>352</v>
      </c>
      <c r="BW511" s="2" t="s">
        <v>1735</v>
      </c>
      <c r="BX511" s="2" t="s">
        <v>1780</v>
      </c>
      <c r="BY511" s="2" t="s">
        <v>111</v>
      </c>
    </row>
    <row r="512">
      <c r="A512" s="2" t="s">
        <v>1781</v>
      </c>
      <c r="B512" s="2" t="s">
        <v>86</v>
      </c>
      <c r="C512" s="2" t="s">
        <v>87</v>
      </c>
      <c r="D512" s="2" t="s">
        <v>88</v>
      </c>
      <c r="E512" s="2" t="s">
        <v>1727</v>
      </c>
      <c r="F512" s="2" t="s">
        <v>1766</v>
      </c>
      <c r="G512" s="2" t="s">
        <v>1767</v>
      </c>
      <c r="H512" s="2" t="s">
        <v>1768</v>
      </c>
      <c r="I512" s="2" t="s">
        <v>1769</v>
      </c>
      <c r="J512" s="2" t="s">
        <v>1741</v>
      </c>
      <c r="K512" s="2" t="s">
        <v>299</v>
      </c>
      <c r="L512" s="3">
        <v>28.2</v>
      </c>
      <c r="M512" s="3">
        <v>29.61</v>
      </c>
      <c r="N512" s="3">
        <v>59.99</v>
      </c>
      <c r="O512" s="2" t="s">
        <v>368</v>
      </c>
      <c r="P512" s="2" t="s">
        <v>215</v>
      </c>
      <c r="Q512" s="2" t="s">
        <v>97</v>
      </c>
      <c r="R512" s="2" t="s">
        <v>98</v>
      </c>
      <c r="S512" s="2" t="s">
        <v>1782</v>
      </c>
      <c r="T512" s="2" t="s">
        <v>98</v>
      </c>
      <c r="U512" s="2" t="s">
        <v>100</v>
      </c>
      <c r="V512" s="2" t="s">
        <v>1416</v>
      </c>
      <c r="W512" s="2" t="s">
        <v>567</v>
      </c>
      <c r="X512" s="2" t="s">
        <v>1249</v>
      </c>
      <c r="Y512" s="2" t="s">
        <v>1289</v>
      </c>
      <c r="Z512" s="4"/>
      <c r="AA512" s="4">
        <f>=ROUNDDOWN({0},0)</f>
      </c>
      <c r="AB512" s="5"/>
      <c r="AC512" s="2" t="s">
        <v>98</v>
      </c>
      <c r="AD512" s="4"/>
      <c r="AE512" s="4"/>
      <c r="AF512" s="6"/>
      <c r="AG512" s="6"/>
      <c r="AH512" s="7">
        <v>0.4222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20</v>
      </c>
      <c r="AS512" s="8">
        <v>496</v>
      </c>
      <c r="AT512" s="7">
        <v>-1</v>
      </c>
      <c r="AU512" s="7">
        <v>-1</v>
      </c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/>
      <c r="BK512" s="8"/>
      <c r="BL512" s="2" t="s">
        <v>1783</v>
      </c>
      <c r="BM512" s="7"/>
      <c r="BN512" s="7"/>
      <c r="BO512" s="4"/>
      <c r="BP512" s="8"/>
      <c r="BQ512" s="4">
        <v>20</v>
      </c>
      <c r="BR512" s="8">
        <v>496</v>
      </c>
      <c r="BS512" s="7">
        <v>-1</v>
      </c>
      <c r="BT512" s="7">
        <v>-1</v>
      </c>
      <c r="BU512" s="2" t="s">
        <v>211</v>
      </c>
      <c r="BV512" s="2" t="s">
        <v>352</v>
      </c>
      <c r="BW512" s="2" t="s">
        <v>1735</v>
      </c>
      <c r="BX512" s="2" t="s">
        <v>1784</v>
      </c>
      <c r="BY512" s="2" t="s">
        <v>111</v>
      </c>
    </row>
    <row r="513">
      <c r="A513" s="2" t="s">
        <v>1785</v>
      </c>
      <c r="B513" s="2" t="s">
        <v>86</v>
      </c>
      <c r="C513" s="2" t="s">
        <v>87</v>
      </c>
      <c r="D513" s="2" t="s">
        <v>1786</v>
      </c>
      <c r="E513" s="2" t="s">
        <v>1786</v>
      </c>
      <c r="F513" s="2" t="s">
        <v>1787</v>
      </c>
      <c r="G513" s="2" t="s">
        <v>1788</v>
      </c>
      <c r="H513" s="2" t="s">
        <v>1789</v>
      </c>
      <c r="I513" s="2" t="s">
        <v>1790</v>
      </c>
      <c r="J513" s="2" t="s">
        <v>1791</v>
      </c>
      <c r="K513" s="2" t="s">
        <v>177</v>
      </c>
      <c r="L513" s="3">
        <v>12.42</v>
      </c>
      <c r="M513" s="3">
        <v>13.04</v>
      </c>
      <c r="N513" s="3">
        <v>26.99</v>
      </c>
      <c r="O513" s="2" t="s">
        <v>95</v>
      </c>
      <c r="P513" s="2" t="s">
        <v>150</v>
      </c>
      <c r="Q513" s="2" t="s">
        <v>97</v>
      </c>
      <c r="R513" s="2" t="s">
        <v>98</v>
      </c>
      <c r="S513" s="2" t="s">
        <v>178</v>
      </c>
      <c r="T513" s="2" t="s">
        <v>98</v>
      </c>
      <c r="U513" s="2" t="s">
        <v>98</v>
      </c>
      <c r="V513" s="2" t="s">
        <v>101</v>
      </c>
      <c r="W513" s="2" t="s">
        <v>649</v>
      </c>
      <c r="X513" s="2" t="s">
        <v>98</v>
      </c>
      <c r="Y513" s="2" t="s">
        <v>1792</v>
      </c>
      <c r="Z513" s="4">
        <v>290</v>
      </c>
      <c r="AA513" s="4">
        <f>=ROUNDDOWN(10.7407407407407,0)</f>
      </c>
      <c r="AB513" s="5">
        <v>27</v>
      </c>
      <c r="AC513" s="2" t="s">
        <v>624</v>
      </c>
      <c r="AD513" s="4">
        <v>440</v>
      </c>
      <c r="AE513" s="4">
        <v>440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70</v>
      </c>
      <c r="AQ513" s="8">
        <v>945</v>
      </c>
      <c r="AR513" s="4">
        <v>191</v>
      </c>
      <c r="AS513" s="8">
        <v>2131.56</v>
      </c>
      <c r="AT513" s="7">
        <v>-0.6335</v>
      </c>
      <c r="AU513" s="7">
        <v>-0.5567</v>
      </c>
      <c r="AV513" s="4">
        <v>70</v>
      </c>
      <c r="AW513" s="8">
        <v>945</v>
      </c>
      <c r="AX513" s="4">
        <v>191</v>
      </c>
      <c r="AY513" s="8">
        <v>2131.56</v>
      </c>
      <c r="AZ513" s="7">
        <v>-0.6335</v>
      </c>
      <c r="BA513" s="7">
        <v>-0.5567</v>
      </c>
      <c r="BB513" s="7">
        <v>1</v>
      </c>
      <c r="BC513" s="4">
        <v>300</v>
      </c>
      <c r="BD513" s="8">
        <v>4050</v>
      </c>
      <c r="BE513" s="4">
        <v>827</v>
      </c>
      <c r="BF513" s="8">
        <v>9229.32</v>
      </c>
      <c r="BG513" s="7">
        <v>-0.6372</v>
      </c>
      <c r="BH513" s="7">
        <v>-0.5612</v>
      </c>
      <c r="BI513" s="7">
        <v>0.2333</v>
      </c>
      <c r="BJ513" s="4">
        <v>341</v>
      </c>
      <c r="BK513" s="8">
        <v>4449.51</v>
      </c>
      <c r="BL513" s="2" t="s">
        <v>1793</v>
      </c>
      <c r="BM513" s="7">
        <v>0.2053</v>
      </c>
      <c r="BN513" s="7">
        <v>0.2124</v>
      </c>
      <c r="BO513" s="4">
        <v>70</v>
      </c>
      <c r="BP513" s="8">
        <v>945</v>
      </c>
      <c r="BQ513" s="4">
        <v>191</v>
      </c>
      <c r="BR513" s="8">
        <v>2131.56</v>
      </c>
      <c r="BS513" s="7">
        <v>-0.6335</v>
      </c>
      <c r="BT513" s="7">
        <v>-0.5567</v>
      </c>
      <c r="BU513" s="2" t="s">
        <v>107</v>
      </c>
      <c r="BV513" s="2" t="s">
        <v>108</v>
      </c>
      <c r="BW513" s="2" t="s">
        <v>244</v>
      </c>
      <c r="BX513" s="2" t="s">
        <v>340</v>
      </c>
      <c r="BY513" s="2" t="s">
        <v>111</v>
      </c>
    </row>
    <row r="514">
      <c r="A514" s="2" t="s">
        <v>1794</v>
      </c>
      <c r="B514" s="2" t="s">
        <v>86</v>
      </c>
      <c r="C514" s="2" t="s">
        <v>87</v>
      </c>
      <c r="D514" s="2" t="s">
        <v>1786</v>
      </c>
      <c r="E514" s="2" t="s">
        <v>1786</v>
      </c>
      <c r="F514" s="2" t="s">
        <v>1787</v>
      </c>
      <c r="G514" s="2" t="s">
        <v>1788</v>
      </c>
      <c r="H514" s="2" t="s">
        <v>1789</v>
      </c>
      <c r="I514" s="2" t="s">
        <v>1790</v>
      </c>
      <c r="J514" s="2" t="s">
        <v>1791</v>
      </c>
      <c r="K514" s="2" t="s">
        <v>137</v>
      </c>
      <c r="L514" s="3">
        <v>12.42</v>
      </c>
      <c r="M514" s="3">
        <v>13.04</v>
      </c>
      <c r="N514" s="3">
        <v>26.99</v>
      </c>
      <c r="O514" s="2" t="s">
        <v>95</v>
      </c>
      <c r="P514" s="2" t="s">
        <v>150</v>
      </c>
      <c r="Q514" s="2" t="s">
        <v>97</v>
      </c>
      <c r="R514" s="2" t="s">
        <v>98</v>
      </c>
      <c r="S514" s="2" t="s">
        <v>138</v>
      </c>
      <c r="T514" s="2" t="s">
        <v>98</v>
      </c>
      <c r="U514" s="2" t="s">
        <v>98</v>
      </c>
      <c r="V514" s="2" t="s">
        <v>101</v>
      </c>
      <c r="W514" s="2" t="s">
        <v>649</v>
      </c>
      <c r="X514" s="2" t="s">
        <v>98</v>
      </c>
      <c r="Y514" s="2" t="s">
        <v>1792</v>
      </c>
      <c r="Z514" s="4">
        <v>220</v>
      </c>
      <c r="AA514" s="4">
        <f>=ROUNDDOWN(2.61904761904762,0)</f>
      </c>
      <c r="AB514" s="5">
        <v>84</v>
      </c>
      <c r="AC514" s="2" t="s">
        <v>105</v>
      </c>
      <c r="AD514" s="4">
        <v>736</v>
      </c>
      <c r="AE514" s="4">
        <v>2320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55</v>
      </c>
      <c r="AQ514" s="8">
        <v>742.5</v>
      </c>
      <c r="AR514" s="4">
        <v>287</v>
      </c>
      <c r="AS514" s="8">
        <v>3202.92</v>
      </c>
      <c r="AT514" s="7">
        <v>-0.8084</v>
      </c>
      <c r="AU514" s="7">
        <v>-0.7682</v>
      </c>
      <c r="AV514" s="4">
        <v>55</v>
      </c>
      <c r="AW514" s="8">
        <v>742.5</v>
      </c>
      <c r="AX514" s="4">
        <v>287</v>
      </c>
      <c r="AY514" s="8">
        <v>3202.92</v>
      </c>
      <c r="AZ514" s="7">
        <v>-0.8084</v>
      </c>
      <c r="BA514" s="7">
        <v>-0.7682</v>
      </c>
      <c r="BB514" s="7">
        <v>1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0.1833</v>
      </c>
      <c r="BJ514" s="4">
        <v>914</v>
      </c>
      <c r="BK514" s="8">
        <v>11409.74</v>
      </c>
      <c r="BL514" s="2" t="s">
        <v>1542</v>
      </c>
      <c r="BM514" s="7">
        <v>0.0602</v>
      </c>
      <c r="BN514" s="7">
        <v>0.0651</v>
      </c>
      <c r="BO514" s="4">
        <v>55</v>
      </c>
      <c r="BP514" s="8">
        <v>742.5</v>
      </c>
      <c r="BQ514" s="4">
        <v>287</v>
      </c>
      <c r="BR514" s="8">
        <v>3202.92</v>
      </c>
      <c r="BS514" s="7">
        <v>-0.8084</v>
      </c>
      <c r="BT514" s="7">
        <v>-0.7682</v>
      </c>
      <c r="BU514" s="2" t="s">
        <v>107</v>
      </c>
      <c r="BV514" s="2" t="s">
        <v>108</v>
      </c>
      <c r="BW514" s="2" t="s">
        <v>244</v>
      </c>
      <c r="BX514" s="2" t="s">
        <v>427</v>
      </c>
      <c r="BY514" s="2" t="s">
        <v>111</v>
      </c>
    </row>
    <row r="515">
      <c r="A515" s="2" t="s">
        <v>1795</v>
      </c>
      <c r="B515" s="2" t="s">
        <v>86</v>
      </c>
      <c r="C515" s="2" t="s">
        <v>87</v>
      </c>
      <c r="D515" s="2" t="s">
        <v>1786</v>
      </c>
      <c r="E515" s="2" t="s">
        <v>1786</v>
      </c>
      <c r="F515" s="2" t="s">
        <v>1787</v>
      </c>
      <c r="G515" s="2" t="s">
        <v>1788</v>
      </c>
      <c r="H515" s="2" t="s">
        <v>1789</v>
      </c>
      <c r="I515" s="2" t="s">
        <v>1790</v>
      </c>
      <c r="J515" s="2" t="s">
        <v>1791</v>
      </c>
      <c r="K515" s="2" t="s">
        <v>199</v>
      </c>
      <c r="L515" s="3">
        <v>12.42</v>
      </c>
      <c r="M515" s="3">
        <v>13.04</v>
      </c>
      <c r="N515" s="3">
        <v>26.99</v>
      </c>
      <c r="O515" s="2" t="s">
        <v>95</v>
      </c>
      <c r="P515" s="2" t="s">
        <v>150</v>
      </c>
      <c r="Q515" s="2" t="s">
        <v>97</v>
      </c>
      <c r="R515" s="2" t="s">
        <v>98</v>
      </c>
      <c r="S515" s="2" t="s">
        <v>200</v>
      </c>
      <c r="T515" s="2" t="s">
        <v>1796</v>
      </c>
      <c r="U515" s="2" t="s">
        <v>100</v>
      </c>
      <c r="V515" s="2" t="s">
        <v>101</v>
      </c>
      <c r="W515" s="2" t="s">
        <v>649</v>
      </c>
      <c r="X515" s="2" t="s">
        <v>98</v>
      </c>
      <c r="Y515" s="2" t="s">
        <v>1797</v>
      </c>
      <c r="Z515" s="4">
        <v>176</v>
      </c>
      <c r="AA515" s="4">
        <f>=ROUNDDOWN(8.8,0)</f>
      </c>
      <c r="AB515" s="5">
        <v>20</v>
      </c>
      <c r="AC515" s="2" t="s">
        <v>250</v>
      </c>
      <c r="AD515" s="4">
        <v>128</v>
      </c>
      <c r="AE515" s="4">
        <v>712</v>
      </c>
      <c r="AF515" s="6">
        <v>65</v>
      </c>
      <c r="AG515" s="6"/>
      <c r="AH515" s="7">
        <v>0.7444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42</v>
      </c>
      <c r="AQ515" s="8">
        <v>567</v>
      </c>
      <c r="AR515" s="4"/>
      <c r="AS515" s="8"/>
      <c r="AT515" s="7"/>
      <c r="AU515" s="7"/>
      <c r="AV515" s="4">
        <v>42</v>
      </c>
      <c r="AW515" s="8">
        <v>567</v>
      </c>
      <c r="AX515" s="4"/>
      <c r="AY515" s="8"/>
      <c r="AZ515" s="7"/>
      <c r="BA515" s="7"/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0.14</v>
      </c>
      <c r="BJ515" s="4">
        <v>158</v>
      </c>
      <c r="BK515" s="8">
        <v>2066.11</v>
      </c>
      <c r="BL515" s="2" t="s">
        <v>1798</v>
      </c>
      <c r="BM515" s="7">
        <v>0.2658</v>
      </c>
      <c r="BN515" s="7">
        <v>0.2744</v>
      </c>
      <c r="BO515" s="4">
        <v>42</v>
      </c>
      <c r="BP515" s="8">
        <v>567</v>
      </c>
      <c r="BQ515" s="4"/>
      <c r="BR515" s="8"/>
      <c r="BS515" s="7"/>
      <c r="BT515" s="7"/>
      <c r="BU515" s="2" t="s">
        <v>107</v>
      </c>
      <c r="BV515" s="2" t="s">
        <v>108</v>
      </c>
      <c r="BW515" s="2" t="s">
        <v>171</v>
      </c>
      <c r="BX515" s="2" t="s">
        <v>1235</v>
      </c>
      <c r="BY515" s="2" t="s">
        <v>111</v>
      </c>
    </row>
    <row r="516">
      <c r="A516" s="2" t="s">
        <v>1799</v>
      </c>
      <c r="B516" s="2" t="s">
        <v>86</v>
      </c>
      <c r="C516" s="2" t="s">
        <v>87</v>
      </c>
      <c r="D516" s="2" t="s">
        <v>1786</v>
      </c>
      <c r="E516" s="2" t="s">
        <v>1786</v>
      </c>
      <c r="F516" s="2" t="s">
        <v>1787</v>
      </c>
      <c r="G516" s="2" t="s">
        <v>1788</v>
      </c>
      <c r="H516" s="2" t="s">
        <v>1789</v>
      </c>
      <c r="I516" s="2" t="s">
        <v>1790</v>
      </c>
      <c r="J516" s="2" t="s">
        <v>1791</v>
      </c>
      <c r="K516" s="2" t="s">
        <v>94</v>
      </c>
      <c r="L516" s="3">
        <v>12.42</v>
      </c>
      <c r="M516" s="3">
        <v>13.04</v>
      </c>
      <c r="N516" s="3">
        <v>26.99</v>
      </c>
      <c r="O516" s="2" t="s">
        <v>95</v>
      </c>
      <c r="P516" s="2" t="s">
        <v>150</v>
      </c>
      <c r="Q516" s="2" t="s">
        <v>97</v>
      </c>
      <c r="R516" s="2" t="s">
        <v>98</v>
      </c>
      <c r="S516" s="2" t="s">
        <v>99</v>
      </c>
      <c r="T516" s="2" t="s">
        <v>98</v>
      </c>
      <c r="U516" s="2" t="s">
        <v>98</v>
      </c>
      <c r="V516" s="2" t="s">
        <v>101</v>
      </c>
      <c r="W516" s="2" t="s">
        <v>102</v>
      </c>
      <c r="X516" s="2" t="s">
        <v>98</v>
      </c>
      <c r="Y516" s="2" t="s">
        <v>1792</v>
      </c>
      <c r="Z516" s="4">
        <v>137</v>
      </c>
      <c r="AA516" s="4">
        <f>=ROUNDDOWN(4.24148606811146,0)</f>
      </c>
      <c r="AB516" s="5">
        <v>32.3</v>
      </c>
      <c r="AC516" s="2" t="s">
        <v>179</v>
      </c>
      <c r="AD516" s="4">
        <v>96</v>
      </c>
      <c r="AE516" s="4">
        <v>1088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40</v>
      </c>
      <c r="AQ516" s="8">
        <v>540</v>
      </c>
      <c r="AR516" s="4">
        <v>171</v>
      </c>
      <c r="AS516" s="8">
        <v>1908.36</v>
      </c>
      <c r="AT516" s="7">
        <v>-0.7661</v>
      </c>
      <c r="AU516" s="7">
        <v>-0.717</v>
      </c>
      <c r="AV516" s="4">
        <v>40</v>
      </c>
      <c r="AW516" s="8">
        <v>540</v>
      </c>
      <c r="AX516" s="4">
        <v>171</v>
      </c>
      <c r="AY516" s="8">
        <v>1908.36</v>
      </c>
      <c r="AZ516" s="7">
        <v>-0.7661</v>
      </c>
      <c r="BA516" s="7">
        <v>-0.717</v>
      </c>
      <c r="BB516" s="7">
        <v>1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0.1333</v>
      </c>
      <c r="BJ516" s="4">
        <v>359</v>
      </c>
      <c r="BK516" s="8">
        <v>4601.15</v>
      </c>
      <c r="BL516" s="2" t="s">
        <v>1542</v>
      </c>
      <c r="BM516" s="7">
        <v>0.1114</v>
      </c>
      <c r="BN516" s="7">
        <v>0.1174</v>
      </c>
      <c r="BO516" s="4">
        <v>40</v>
      </c>
      <c r="BP516" s="8">
        <v>540</v>
      </c>
      <c r="BQ516" s="4">
        <v>171</v>
      </c>
      <c r="BR516" s="8">
        <v>1908.36</v>
      </c>
      <c r="BS516" s="7">
        <v>-0.7661</v>
      </c>
      <c r="BT516" s="7">
        <v>-0.717</v>
      </c>
      <c r="BU516" s="2" t="s">
        <v>107</v>
      </c>
      <c r="BV516" s="2" t="s">
        <v>108</v>
      </c>
      <c r="BW516" s="2" t="s">
        <v>244</v>
      </c>
      <c r="BX516" s="2" t="s">
        <v>340</v>
      </c>
      <c r="BY516" s="2" t="s">
        <v>111</v>
      </c>
    </row>
    <row r="517">
      <c r="A517" s="2" t="s">
        <v>1800</v>
      </c>
      <c r="B517" s="2" t="s">
        <v>86</v>
      </c>
      <c r="C517" s="2" t="s">
        <v>87</v>
      </c>
      <c r="D517" s="2" t="s">
        <v>1786</v>
      </c>
      <c r="E517" s="2" t="s">
        <v>1786</v>
      </c>
      <c r="F517" s="2" t="s">
        <v>1787</v>
      </c>
      <c r="G517" s="2" t="s">
        <v>1788</v>
      </c>
      <c r="H517" s="2" t="s">
        <v>1789</v>
      </c>
      <c r="I517" s="2" t="s">
        <v>1790</v>
      </c>
      <c r="J517" s="2" t="s">
        <v>1791</v>
      </c>
      <c r="K517" s="2" t="s">
        <v>261</v>
      </c>
      <c r="L517" s="3">
        <v>12.42</v>
      </c>
      <c r="M517" s="3">
        <v>13.04</v>
      </c>
      <c r="N517" s="3">
        <v>26.99</v>
      </c>
      <c r="O517" s="2" t="s">
        <v>95</v>
      </c>
      <c r="P517" s="2" t="s">
        <v>150</v>
      </c>
      <c r="Q517" s="2" t="s">
        <v>97</v>
      </c>
      <c r="R517" s="2" t="s">
        <v>98</v>
      </c>
      <c r="S517" s="2" t="s">
        <v>262</v>
      </c>
      <c r="T517" s="2" t="s">
        <v>98</v>
      </c>
      <c r="U517" s="2" t="s">
        <v>98</v>
      </c>
      <c r="V517" s="2" t="s">
        <v>101</v>
      </c>
      <c r="W517" s="2" t="s">
        <v>649</v>
      </c>
      <c r="X517" s="2" t="s">
        <v>98</v>
      </c>
      <c r="Y517" s="2" t="s">
        <v>1792</v>
      </c>
      <c r="Z517" s="4">
        <v>696</v>
      </c>
      <c r="AA517" s="4">
        <f>=ROUNDDOWN(24,0)</f>
      </c>
      <c r="AB517" s="5">
        <v>29</v>
      </c>
      <c r="AC517" s="2" t="s">
        <v>264</v>
      </c>
      <c r="AD517" s="4">
        <v>120</v>
      </c>
      <c r="AE517" s="4">
        <v>632</v>
      </c>
      <c r="AF517" s="6">
        <v>65</v>
      </c>
      <c r="AG517" s="6"/>
      <c r="AH517" s="7">
        <v>1</v>
      </c>
      <c r="AI517" s="4">
        <v>3</v>
      </c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39</v>
      </c>
      <c r="AQ517" s="8">
        <v>526.5</v>
      </c>
      <c r="AR517" s="4">
        <v>82</v>
      </c>
      <c r="AS517" s="8">
        <v>915.12</v>
      </c>
      <c r="AT517" s="7">
        <v>-0.5244</v>
      </c>
      <c r="AU517" s="7">
        <v>-0.4247</v>
      </c>
      <c r="AV517" s="4">
        <v>39</v>
      </c>
      <c r="AW517" s="8">
        <v>526.5</v>
      </c>
      <c r="AX517" s="4">
        <v>82</v>
      </c>
      <c r="AY517" s="8">
        <v>915.12</v>
      </c>
      <c r="AZ517" s="7">
        <v>-0.5244</v>
      </c>
      <c r="BA517" s="7">
        <v>-0.4247</v>
      </c>
      <c r="BB517" s="7">
        <v>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0.13</v>
      </c>
      <c r="BJ517" s="4">
        <v>310</v>
      </c>
      <c r="BK517" s="8">
        <v>3993.91</v>
      </c>
      <c r="BL517" s="2" t="s">
        <v>538</v>
      </c>
      <c r="BM517" s="7">
        <v>0.1258</v>
      </c>
      <c r="BN517" s="7">
        <v>0.1318</v>
      </c>
      <c r="BO517" s="4">
        <v>39</v>
      </c>
      <c r="BP517" s="8">
        <v>526.5</v>
      </c>
      <c r="BQ517" s="4">
        <v>82</v>
      </c>
      <c r="BR517" s="8">
        <v>915.12</v>
      </c>
      <c r="BS517" s="7">
        <v>-0.5244</v>
      </c>
      <c r="BT517" s="7">
        <v>-0.4247</v>
      </c>
      <c r="BU517" s="2" t="s">
        <v>107</v>
      </c>
      <c r="BV517" s="2" t="s">
        <v>108</v>
      </c>
      <c r="BW517" s="2" t="s">
        <v>244</v>
      </c>
      <c r="BX517" s="2" t="s">
        <v>1801</v>
      </c>
      <c r="BY517" s="2" t="s">
        <v>111</v>
      </c>
    </row>
    <row r="518">
      <c r="A518" s="2" t="s">
        <v>1802</v>
      </c>
      <c r="B518" s="2" t="s">
        <v>86</v>
      </c>
      <c r="C518" s="2" t="s">
        <v>87</v>
      </c>
      <c r="D518" s="2" t="s">
        <v>1786</v>
      </c>
      <c r="E518" s="2" t="s">
        <v>1786</v>
      </c>
      <c r="F518" s="2" t="s">
        <v>1787</v>
      </c>
      <c r="G518" s="2" t="s">
        <v>1788</v>
      </c>
      <c r="H518" s="2" t="s">
        <v>1789</v>
      </c>
      <c r="I518" s="2" t="s">
        <v>1790</v>
      </c>
      <c r="J518" s="2" t="s">
        <v>1791</v>
      </c>
      <c r="K518" s="2" t="s">
        <v>156</v>
      </c>
      <c r="L518" s="3">
        <v>12.42</v>
      </c>
      <c r="M518" s="3">
        <v>13.04</v>
      </c>
      <c r="N518" s="3">
        <v>26.99</v>
      </c>
      <c r="O518" s="2" t="s">
        <v>95</v>
      </c>
      <c r="P518" s="2" t="s">
        <v>150</v>
      </c>
      <c r="Q518" s="2" t="s">
        <v>97</v>
      </c>
      <c r="R518" s="2" t="s">
        <v>98</v>
      </c>
      <c r="S518" s="2" t="s">
        <v>157</v>
      </c>
      <c r="T518" s="2" t="s">
        <v>98</v>
      </c>
      <c r="U518" s="2" t="s">
        <v>98</v>
      </c>
      <c r="V518" s="2" t="s">
        <v>101</v>
      </c>
      <c r="W518" s="2" t="s">
        <v>649</v>
      </c>
      <c r="X518" s="2" t="s">
        <v>98</v>
      </c>
      <c r="Y518" s="2" t="s">
        <v>1792</v>
      </c>
      <c r="Z518" s="4">
        <v>97</v>
      </c>
      <c r="AA518" s="4">
        <f>=ROUNDDOWN(10.4301075268817,0)</f>
      </c>
      <c r="AB518" s="5">
        <v>9.3</v>
      </c>
      <c r="AC518" s="2" t="s">
        <v>105</v>
      </c>
      <c r="AD518" s="4">
        <v>176</v>
      </c>
      <c r="AE518" s="4">
        <v>376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/>
      <c r="AP518" s="4">
        <v>21</v>
      </c>
      <c r="AQ518" s="8">
        <v>283.5</v>
      </c>
      <c r="AR518" s="4">
        <v>96</v>
      </c>
      <c r="AS518" s="8">
        <v>1071.36</v>
      </c>
      <c r="AT518" s="7">
        <v>-0.7812</v>
      </c>
      <c r="AU518" s="7">
        <v>-0.7354</v>
      </c>
      <c r="AV518" s="4">
        <v>21</v>
      </c>
      <c r="AW518" s="8">
        <v>283.5</v>
      </c>
      <c r="AX518" s="4">
        <v>96</v>
      </c>
      <c r="AY518" s="8">
        <v>1071.36</v>
      </c>
      <c r="AZ518" s="7">
        <v>-0.7812</v>
      </c>
      <c r="BA518" s="7">
        <v>-0.7354</v>
      </c>
      <c r="BB518" s="7">
        <v>1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0.07</v>
      </c>
      <c r="BJ518" s="4">
        <v>134</v>
      </c>
      <c r="BK518" s="8">
        <v>1690.88</v>
      </c>
      <c r="BL518" s="2" t="s">
        <v>1456</v>
      </c>
      <c r="BM518" s="7">
        <v>0.1567</v>
      </c>
      <c r="BN518" s="7">
        <v>0.1677</v>
      </c>
      <c r="BO518" s="4">
        <v>21</v>
      </c>
      <c r="BP518" s="8">
        <v>283.5</v>
      </c>
      <c r="BQ518" s="4">
        <v>96</v>
      </c>
      <c r="BR518" s="8">
        <v>1071.36</v>
      </c>
      <c r="BS518" s="7">
        <v>-0.7812</v>
      </c>
      <c r="BT518" s="7">
        <v>-0.7354</v>
      </c>
      <c r="BU518" s="2" t="s">
        <v>107</v>
      </c>
      <c r="BV518" s="2" t="s">
        <v>108</v>
      </c>
      <c r="BW518" s="2" t="s">
        <v>244</v>
      </c>
      <c r="BX518" s="2" t="s">
        <v>1285</v>
      </c>
      <c r="BY518" s="2" t="s">
        <v>111</v>
      </c>
    </row>
    <row r="519">
      <c r="A519" s="2" t="s">
        <v>1803</v>
      </c>
      <c r="B519" s="2" t="s">
        <v>86</v>
      </c>
      <c r="C519" s="2" t="s">
        <v>87</v>
      </c>
      <c r="D519" s="2" t="s">
        <v>1786</v>
      </c>
      <c r="E519" s="2" t="s">
        <v>1786</v>
      </c>
      <c r="F519" s="2" t="s">
        <v>1787</v>
      </c>
      <c r="G519" s="2" t="s">
        <v>1788</v>
      </c>
      <c r="H519" s="2" t="s">
        <v>1789</v>
      </c>
      <c r="I519" s="2" t="s">
        <v>1790</v>
      </c>
      <c r="J519" s="2" t="s">
        <v>1791</v>
      </c>
      <c r="K519" s="2" t="s">
        <v>299</v>
      </c>
      <c r="L519" s="3">
        <v>12.42</v>
      </c>
      <c r="M519" s="3">
        <v>13.04</v>
      </c>
      <c r="N519" s="3">
        <v>26.99</v>
      </c>
      <c r="O519" s="2" t="s">
        <v>95</v>
      </c>
      <c r="P519" s="2" t="s">
        <v>150</v>
      </c>
      <c r="Q519" s="2" t="s">
        <v>97</v>
      </c>
      <c r="R519" s="2" t="s">
        <v>98</v>
      </c>
      <c r="S519" s="2" t="s">
        <v>300</v>
      </c>
      <c r="T519" s="2" t="s">
        <v>1796</v>
      </c>
      <c r="U519" s="2" t="s">
        <v>100</v>
      </c>
      <c r="V519" s="2" t="s">
        <v>101</v>
      </c>
      <c r="W519" s="2" t="s">
        <v>649</v>
      </c>
      <c r="X519" s="2" t="s">
        <v>98</v>
      </c>
      <c r="Y519" s="2" t="s">
        <v>1797</v>
      </c>
      <c r="Z519" s="4">
        <v>182</v>
      </c>
      <c r="AA519" s="4">
        <f>=ROUNDDOWN(14,0)</f>
      </c>
      <c r="AB519" s="5">
        <v>13</v>
      </c>
      <c r="AC519" s="2" t="s">
        <v>114</v>
      </c>
      <c r="AD519" s="4">
        <v>248</v>
      </c>
      <c r="AE519" s="4">
        <v>520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20</v>
      </c>
      <c r="AQ519" s="8">
        <v>270</v>
      </c>
      <c r="AR519" s="4"/>
      <c r="AS519" s="8"/>
      <c r="AT519" s="7"/>
      <c r="AU519" s="7"/>
      <c r="AV519" s="4">
        <v>20</v>
      </c>
      <c r="AW519" s="8">
        <v>270</v>
      </c>
      <c r="AX519" s="4"/>
      <c r="AY519" s="8"/>
      <c r="AZ519" s="7"/>
      <c r="BA519" s="7"/>
      <c r="BB519" s="7">
        <v>1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>
        <v>0.0667</v>
      </c>
      <c r="BJ519" s="4">
        <v>188</v>
      </c>
      <c r="BK519" s="8">
        <v>2472.31</v>
      </c>
      <c r="BL519" s="2" t="s">
        <v>351</v>
      </c>
      <c r="BM519" s="7">
        <v>0.1064</v>
      </c>
      <c r="BN519" s="7">
        <v>0.1092</v>
      </c>
      <c r="BO519" s="4">
        <v>20</v>
      </c>
      <c r="BP519" s="8">
        <v>270</v>
      </c>
      <c r="BQ519" s="4"/>
      <c r="BR519" s="8"/>
      <c r="BS519" s="7"/>
      <c r="BT519" s="7"/>
      <c r="BU519" s="2" t="s">
        <v>107</v>
      </c>
      <c r="BV519" s="2" t="s">
        <v>108</v>
      </c>
      <c r="BW519" s="2" t="s">
        <v>171</v>
      </c>
      <c r="BX519" s="2" t="s">
        <v>1486</v>
      </c>
      <c r="BY519" s="2" t="s">
        <v>111</v>
      </c>
    </row>
    <row r="520">
      <c r="A520" s="2" t="s">
        <v>1804</v>
      </c>
      <c r="B520" s="2" t="s">
        <v>86</v>
      </c>
      <c r="C520" s="2" t="s">
        <v>87</v>
      </c>
      <c r="D520" s="2" t="s">
        <v>1786</v>
      </c>
      <c r="E520" s="2" t="s">
        <v>1786</v>
      </c>
      <c r="F520" s="2" t="s">
        <v>1787</v>
      </c>
      <c r="G520" s="2" t="s">
        <v>1788</v>
      </c>
      <c r="H520" s="2" t="s">
        <v>1789</v>
      </c>
      <c r="I520" s="2" t="s">
        <v>1790</v>
      </c>
      <c r="J520" s="2" t="s">
        <v>1791</v>
      </c>
      <c r="K520" s="2" t="s">
        <v>247</v>
      </c>
      <c r="L520" s="3">
        <v>12.42</v>
      </c>
      <c r="M520" s="3">
        <v>13.04</v>
      </c>
      <c r="N520" s="3">
        <v>26.99</v>
      </c>
      <c r="O520" s="2" t="s">
        <v>95</v>
      </c>
      <c r="P520" s="2" t="s">
        <v>215</v>
      </c>
      <c r="Q520" s="2" t="s">
        <v>97</v>
      </c>
      <c r="R520" s="2" t="s">
        <v>98</v>
      </c>
      <c r="S520" s="2" t="s">
        <v>248</v>
      </c>
      <c r="T520" s="2" t="s">
        <v>1796</v>
      </c>
      <c r="U520" s="2" t="s">
        <v>100</v>
      </c>
      <c r="V520" s="2" t="s">
        <v>101</v>
      </c>
      <c r="W520" s="2" t="s">
        <v>649</v>
      </c>
      <c r="X520" s="2" t="s">
        <v>98</v>
      </c>
      <c r="Y520" s="2" t="s">
        <v>1797</v>
      </c>
      <c r="Z520" s="4">
        <v>45</v>
      </c>
      <c r="AA520" s="4">
        <f>=ROUNDDOWN(4.09090909090909,0)</f>
      </c>
      <c r="AB520" s="5">
        <v>11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13</v>
      </c>
      <c r="AQ520" s="8">
        <v>175.5</v>
      </c>
      <c r="AR520" s="4"/>
      <c r="AS520" s="8"/>
      <c r="AT520" s="7"/>
      <c r="AU520" s="7"/>
      <c r="AV520" s="4">
        <v>13</v>
      </c>
      <c r="AW520" s="8">
        <v>175.5</v>
      </c>
      <c r="AX520" s="4"/>
      <c r="AY520" s="8"/>
      <c r="AZ520" s="7"/>
      <c r="BA520" s="7"/>
      <c r="BB520" s="7">
        <v>1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0.0433</v>
      </c>
      <c r="BJ520" s="4">
        <v>64</v>
      </c>
      <c r="BK520" s="8">
        <v>815.45</v>
      </c>
      <c r="BL520" s="2" t="s">
        <v>1805</v>
      </c>
      <c r="BM520" s="7">
        <v>0.2031</v>
      </c>
      <c r="BN520" s="7">
        <v>0.2152</v>
      </c>
      <c r="BO520" s="4">
        <v>13</v>
      </c>
      <c r="BP520" s="8">
        <v>175.5</v>
      </c>
      <c r="BQ520" s="4"/>
      <c r="BR520" s="8"/>
      <c r="BS520" s="7"/>
      <c r="BT520" s="7"/>
      <c r="BU520" s="2" t="s">
        <v>107</v>
      </c>
      <c r="BV520" s="2" t="s">
        <v>108</v>
      </c>
      <c r="BW520" s="2" t="s">
        <v>171</v>
      </c>
      <c r="BX520" s="2" t="s">
        <v>257</v>
      </c>
      <c r="BY520" s="2" t="s">
        <v>111</v>
      </c>
    </row>
    <row r="521">
      <c r="A521" s="2" t="s">
        <v>1806</v>
      </c>
      <c r="B521" s="2" t="s">
        <v>86</v>
      </c>
      <c r="C521" s="2" t="s">
        <v>87</v>
      </c>
      <c r="D521" s="2" t="s">
        <v>1786</v>
      </c>
      <c r="E521" s="2" t="s">
        <v>1786</v>
      </c>
      <c r="F521" s="2" t="s">
        <v>477</v>
      </c>
      <c r="G521" s="2" t="s">
        <v>478</v>
      </c>
      <c r="H521" s="2" t="s">
        <v>479</v>
      </c>
      <c r="I521" s="2" t="s">
        <v>1807</v>
      </c>
      <c r="J521" s="2" t="s">
        <v>1808</v>
      </c>
      <c r="K521" s="2" t="s">
        <v>94</v>
      </c>
      <c r="L521" s="3">
        <v>11.76</v>
      </c>
      <c r="M521" s="3">
        <v>12.35</v>
      </c>
      <c r="N521" s="3">
        <v>27.99</v>
      </c>
      <c r="O521" s="2" t="s">
        <v>95</v>
      </c>
      <c r="P521" s="2" t="s">
        <v>129</v>
      </c>
      <c r="Q521" s="2" t="s">
        <v>97</v>
      </c>
      <c r="R521" s="2" t="s">
        <v>98</v>
      </c>
      <c r="S521" s="2" t="s">
        <v>488</v>
      </c>
      <c r="T521" s="2" t="s">
        <v>98</v>
      </c>
      <c r="U521" s="2" t="s">
        <v>98</v>
      </c>
      <c r="V521" s="2" t="s">
        <v>482</v>
      </c>
      <c r="W521" s="2" t="s">
        <v>102</v>
      </c>
      <c r="X521" s="2" t="s">
        <v>98</v>
      </c>
      <c r="Y521" s="2" t="s">
        <v>1809</v>
      </c>
      <c r="Z521" s="4">
        <v>496</v>
      </c>
      <c r="AA521" s="4">
        <f>=ROUNDDOWN(12.3383084577114,0)</f>
      </c>
      <c r="AB521" s="5">
        <v>40.2</v>
      </c>
      <c r="AC521" s="2" t="s">
        <v>489</v>
      </c>
      <c r="AD521" s="4">
        <v>640</v>
      </c>
      <c r="AE521" s="4">
        <v>1064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80</v>
      </c>
      <c r="AQ521" s="8">
        <v>1030.4</v>
      </c>
      <c r="AR521" s="4">
        <v>226</v>
      </c>
      <c r="AS521" s="8">
        <v>2354.92</v>
      </c>
      <c r="AT521" s="7">
        <v>-0.646</v>
      </c>
      <c r="AU521" s="7">
        <v>-0.5624</v>
      </c>
      <c r="AV521" s="4">
        <v>80</v>
      </c>
      <c r="AW521" s="8">
        <v>1030.4</v>
      </c>
      <c r="AX521" s="4">
        <v>226</v>
      </c>
      <c r="AY521" s="8">
        <v>2354.92</v>
      </c>
      <c r="AZ521" s="7">
        <v>-0.646</v>
      </c>
      <c r="BA521" s="7">
        <v>-0.5624</v>
      </c>
      <c r="BB521" s="7">
        <v>1</v>
      </c>
      <c r="BC521" s="4">
        <v>201</v>
      </c>
      <c r="BD521" s="8">
        <v>2588.88</v>
      </c>
      <c r="BE521" s="4">
        <v>680</v>
      </c>
      <c r="BF521" s="8">
        <v>7085.6</v>
      </c>
      <c r="BG521" s="7">
        <v>-0.7044</v>
      </c>
      <c r="BH521" s="7">
        <v>-0.6346</v>
      </c>
      <c r="BI521" s="7">
        <v>0.398</v>
      </c>
      <c r="BJ521" s="4">
        <v>742</v>
      </c>
      <c r="BK521" s="8">
        <v>9348.33</v>
      </c>
      <c r="BL521" s="2" t="s">
        <v>1810</v>
      </c>
      <c r="BM521" s="7">
        <v>0.1078</v>
      </c>
      <c r="BN521" s="7">
        <v>0.1102</v>
      </c>
      <c r="BO521" s="4">
        <v>80</v>
      </c>
      <c r="BP521" s="8">
        <v>1030.4</v>
      </c>
      <c r="BQ521" s="4">
        <v>226</v>
      </c>
      <c r="BR521" s="8">
        <v>2354.92</v>
      </c>
      <c r="BS521" s="7">
        <v>-0.646</v>
      </c>
      <c r="BT521" s="7">
        <v>-0.5624</v>
      </c>
      <c r="BU521" s="2" t="s">
        <v>107</v>
      </c>
      <c r="BV521" s="2" t="s">
        <v>108</v>
      </c>
      <c r="BW521" s="2" t="s">
        <v>244</v>
      </c>
      <c r="BX521" s="2" t="s">
        <v>1811</v>
      </c>
      <c r="BY521" s="2" t="s">
        <v>111</v>
      </c>
    </row>
    <row r="522">
      <c r="A522" s="2" t="s">
        <v>1812</v>
      </c>
      <c r="B522" s="2" t="s">
        <v>86</v>
      </c>
      <c r="C522" s="2" t="s">
        <v>87</v>
      </c>
      <c r="D522" s="2" t="s">
        <v>1786</v>
      </c>
      <c r="E522" s="2" t="s">
        <v>1786</v>
      </c>
      <c r="F522" s="2" t="s">
        <v>477</v>
      </c>
      <c r="G522" s="2" t="s">
        <v>478</v>
      </c>
      <c r="H522" s="2" t="s">
        <v>479</v>
      </c>
      <c r="I522" s="2" t="s">
        <v>1807</v>
      </c>
      <c r="J522" s="2" t="s">
        <v>1808</v>
      </c>
      <c r="K522" s="2" t="s">
        <v>458</v>
      </c>
      <c r="L522" s="3">
        <v>11.76</v>
      </c>
      <c r="M522" s="3">
        <v>12.35</v>
      </c>
      <c r="N522" s="3">
        <v>27.99</v>
      </c>
      <c r="O522" s="2" t="s">
        <v>95</v>
      </c>
      <c r="P522" s="2" t="s">
        <v>150</v>
      </c>
      <c r="Q522" s="2" t="s">
        <v>97</v>
      </c>
      <c r="R522" s="2" t="s">
        <v>98</v>
      </c>
      <c r="S522" s="2" t="s">
        <v>499</v>
      </c>
      <c r="T522" s="2" t="s">
        <v>98</v>
      </c>
      <c r="U522" s="2" t="s">
        <v>98</v>
      </c>
      <c r="V522" s="2" t="s">
        <v>482</v>
      </c>
      <c r="W522" s="2" t="s">
        <v>102</v>
      </c>
      <c r="X522" s="2" t="s">
        <v>98</v>
      </c>
      <c r="Y522" s="2" t="s">
        <v>1809</v>
      </c>
      <c r="Z522" s="4">
        <v>267</v>
      </c>
      <c r="AA522" s="4">
        <f>=ROUNDDOWN(7.23577235772358,0)</f>
      </c>
      <c r="AB522" s="5">
        <v>36.9</v>
      </c>
      <c r="AC522" s="2" t="s">
        <v>224</v>
      </c>
      <c r="AD522" s="4">
        <v>360</v>
      </c>
      <c r="AE522" s="4">
        <v>736</v>
      </c>
      <c r="AF522" s="6">
        <v>65</v>
      </c>
      <c r="AG522" s="6"/>
      <c r="AH522" s="7">
        <v>1</v>
      </c>
      <c r="AI522" s="4"/>
      <c r="AJ522" s="4">
        <f>=ROUNDDOWN({0},0)</f>
      </c>
      <c r="AK522" s="5">
        <v>0.2</v>
      </c>
      <c r="AL522" s="2" t="s">
        <v>98</v>
      </c>
      <c r="AM522" s="4"/>
      <c r="AN522" s="4"/>
      <c r="AO522" s="7">
        <v>1</v>
      </c>
      <c r="AP522" s="4">
        <v>43</v>
      </c>
      <c r="AQ522" s="8">
        <v>553.84</v>
      </c>
      <c r="AR522" s="4">
        <v>193</v>
      </c>
      <c r="AS522" s="8">
        <v>2011.06</v>
      </c>
      <c r="AT522" s="7">
        <v>-0.7772</v>
      </c>
      <c r="AU522" s="7">
        <v>-0.7246</v>
      </c>
      <c r="AV522" s="4">
        <v>43</v>
      </c>
      <c r="AW522" s="8">
        <v>553.84</v>
      </c>
      <c r="AX522" s="4">
        <v>193</v>
      </c>
      <c r="AY522" s="8">
        <v>2011.06</v>
      </c>
      <c r="AZ522" s="7">
        <v>-0.7772</v>
      </c>
      <c r="BA522" s="7">
        <v>-0.7246</v>
      </c>
      <c r="BB522" s="7">
        <v>1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0.2139</v>
      </c>
      <c r="BJ522" s="4">
        <v>342</v>
      </c>
      <c r="BK522" s="8">
        <v>4291.04</v>
      </c>
      <c r="BL522" s="2" t="s">
        <v>1813</v>
      </c>
      <c r="BM522" s="7">
        <v>0.1257</v>
      </c>
      <c r="BN522" s="7">
        <v>0.1291</v>
      </c>
      <c r="BO522" s="4">
        <v>43</v>
      </c>
      <c r="BP522" s="8">
        <v>553.84</v>
      </c>
      <c r="BQ522" s="4">
        <v>193</v>
      </c>
      <c r="BR522" s="8">
        <v>2011.06</v>
      </c>
      <c r="BS522" s="7">
        <v>-0.7772</v>
      </c>
      <c r="BT522" s="7">
        <v>-0.7246</v>
      </c>
      <c r="BU522" s="2" t="s">
        <v>107</v>
      </c>
      <c r="BV522" s="2" t="s">
        <v>108</v>
      </c>
      <c r="BW522" s="2" t="s">
        <v>244</v>
      </c>
      <c r="BX522" s="2" t="s">
        <v>1285</v>
      </c>
      <c r="BY522" s="2" t="s">
        <v>111</v>
      </c>
    </row>
    <row r="523">
      <c r="A523" s="2" t="s">
        <v>1814</v>
      </c>
      <c r="B523" s="2" t="s">
        <v>86</v>
      </c>
      <c r="C523" s="2" t="s">
        <v>87</v>
      </c>
      <c r="D523" s="2" t="s">
        <v>1786</v>
      </c>
      <c r="E523" s="2" t="s">
        <v>1786</v>
      </c>
      <c r="F523" s="2" t="s">
        <v>477</v>
      </c>
      <c r="G523" s="2" t="s">
        <v>478</v>
      </c>
      <c r="H523" s="2" t="s">
        <v>479</v>
      </c>
      <c r="I523" s="2" t="s">
        <v>1807</v>
      </c>
      <c r="J523" s="2" t="s">
        <v>1808</v>
      </c>
      <c r="K523" s="2" t="s">
        <v>504</v>
      </c>
      <c r="L523" s="3">
        <v>11.76</v>
      </c>
      <c r="M523" s="3">
        <v>12.35</v>
      </c>
      <c r="N523" s="3">
        <v>27.99</v>
      </c>
      <c r="O523" s="2" t="s">
        <v>95</v>
      </c>
      <c r="P523" s="2" t="s">
        <v>150</v>
      </c>
      <c r="Q523" s="2" t="s">
        <v>97</v>
      </c>
      <c r="R523" s="2" t="s">
        <v>98</v>
      </c>
      <c r="S523" s="2" t="s">
        <v>505</v>
      </c>
      <c r="T523" s="2" t="s">
        <v>98</v>
      </c>
      <c r="U523" s="2" t="s">
        <v>98</v>
      </c>
      <c r="V523" s="2" t="s">
        <v>482</v>
      </c>
      <c r="W523" s="2" t="s">
        <v>102</v>
      </c>
      <c r="X523" s="2" t="s">
        <v>98</v>
      </c>
      <c r="Y523" s="2" t="s">
        <v>1815</v>
      </c>
      <c r="Z523" s="4">
        <v>391</v>
      </c>
      <c r="AA523" s="4">
        <f>=ROUNDDOWN(7.82,0)</f>
      </c>
      <c r="AB523" s="5">
        <v>50</v>
      </c>
      <c r="AC523" s="2" t="s">
        <v>224</v>
      </c>
      <c r="AD523" s="4">
        <v>200</v>
      </c>
      <c r="AE523" s="4">
        <v>1328</v>
      </c>
      <c r="AF523" s="6">
        <v>65</v>
      </c>
      <c r="AG523" s="6"/>
      <c r="AH523" s="7">
        <v>0.9444</v>
      </c>
      <c r="AI523" s="4"/>
      <c r="AJ523" s="4">
        <f>=ROUNDDOWN({0},0)</f>
      </c>
      <c r="AK523" s="5">
        <v>0.5</v>
      </c>
      <c r="AL523" s="2" t="s">
        <v>98</v>
      </c>
      <c r="AM523" s="4"/>
      <c r="AN523" s="4"/>
      <c r="AO523" s="7">
        <v>0.9333</v>
      </c>
      <c r="AP523" s="4">
        <v>26</v>
      </c>
      <c r="AQ523" s="8">
        <v>334.88</v>
      </c>
      <c r="AR523" s="4">
        <v>65</v>
      </c>
      <c r="AS523" s="8">
        <v>677.3</v>
      </c>
      <c r="AT523" s="7">
        <v>-0.6</v>
      </c>
      <c r="AU523" s="7">
        <v>-0.5056</v>
      </c>
      <c r="AV523" s="4">
        <v>26</v>
      </c>
      <c r="AW523" s="8">
        <v>334.88</v>
      </c>
      <c r="AX523" s="4">
        <v>65</v>
      </c>
      <c r="AY523" s="8">
        <v>677.3</v>
      </c>
      <c r="AZ523" s="7">
        <v>-0.6</v>
      </c>
      <c r="BA523" s="7">
        <v>-0.5056</v>
      </c>
      <c r="BB523" s="7">
        <v>1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0.1294</v>
      </c>
      <c r="BJ523" s="4">
        <v>517</v>
      </c>
      <c r="BK523" s="8">
        <v>6337.82</v>
      </c>
      <c r="BL523" s="2" t="s">
        <v>1816</v>
      </c>
      <c r="BM523" s="7">
        <v>0.0503</v>
      </c>
      <c r="BN523" s="7">
        <v>0.0528</v>
      </c>
      <c r="BO523" s="4">
        <v>26</v>
      </c>
      <c r="BP523" s="8">
        <v>334.88</v>
      </c>
      <c r="BQ523" s="4">
        <v>65</v>
      </c>
      <c r="BR523" s="8">
        <v>677.3</v>
      </c>
      <c r="BS523" s="7">
        <v>-0.6</v>
      </c>
      <c r="BT523" s="7">
        <v>-0.5056</v>
      </c>
      <c r="BU523" s="2" t="s">
        <v>107</v>
      </c>
      <c r="BV523" s="2" t="s">
        <v>108</v>
      </c>
      <c r="BW523" s="2" t="s">
        <v>244</v>
      </c>
      <c r="BX523" s="2" t="s">
        <v>345</v>
      </c>
      <c r="BY523" s="2" t="s">
        <v>111</v>
      </c>
    </row>
    <row r="524">
      <c r="A524" s="2" t="s">
        <v>1817</v>
      </c>
      <c r="B524" s="2" t="s">
        <v>86</v>
      </c>
      <c r="C524" s="2" t="s">
        <v>87</v>
      </c>
      <c r="D524" s="2" t="s">
        <v>1786</v>
      </c>
      <c r="E524" s="2" t="s">
        <v>1786</v>
      </c>
      <c r="F524" s="2" t="s">
        <v>477</v>
      </c>
      <c r="G524" s="2" t="s">
        <v>478</v>
      </c>
      <c r="H524" s="2" t="s">
        <v>479</v>
      </c>
      <c r="I524" s="2" t="s">
        <v>1807</v>
      </c>
      <c r="J524" s="2" t="s">
        <v>1808</v>
      </c>
      <c r="K524" s="2" t="s">
        <v>299</v>
      </c>
      <c r="L524" s="3">
        <v>11.76</v>
      </c>
      <c r="M524" s="3">
        <v>12.35</v>
      </c>
      <c r="N524" s="3">
        <v>27.99</v>
      </c>
      <c r="O524" s="2" t="s">
        <v>95</v>
      </c>
      <c r="P524" s="2" t="s">
        <v>150</v>
      </c>
      <c r="Q524" s="2" t="s">
        <v>97</v>
      </c>
      <c r="R524" s="2" t="s">
        <v>98</v>
      </c>
      <c r="S524" s="2" t="s">
        <v>494</v>
      </c>
      <c r="T524" s="2" t="s">
        <v>98</v>
      </c>
      <c r="U524" s="2" t="s">
        <v>98</v>
      </c>
      <c r="V524" s="2" t="s">
        <v>482</v>
      </c>
      <c r="W524" s="2" t="s">
        <v>102</v>
      </c>
      <c r="X524" s="2" t="s">
        <v>98</v>
      </c>
      <c r="Y524" s="2" t="s">
        <v>1815</v>
      </c>
      <c r="Z524" s="4">
        <v>196</v>
      </c>
      <c r="AA524" s="4">
        <f>=ROUNDDOWN(8.90909090909091,0)</f>
      </c>
      <c r="AB524" s="5">
        <v>22</v>
      </c>
      <c r="AC524" s="2" t="s">
        <v>224</v>
      </c>
      <c r="AD524" s="4">
        <v>360</v>
      </c>
      <c r="AE524" s="4">
        <v>544</v>
      </c>
      <c r="AF524" s="6">
        <v>65</v>
      </c>
      <c r="AG524" s="6"/>
      <c r="AH524" s="7">
        <v>1</v>
      </c>
      <c r="AI524" s="4">
        <v>3</v>
      </c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20</v>
      </c>
      <c r="AQ524" s="8">
        <v>257.6</v>
      </c>
      <c r="AR524" s="4">
        <v>69</v>
      </c>
      <c r="AS524" s="8">
        <v>718.98</v>
      </c>
      <c r="AT524" s="7">
        <v>-0.7101</v>
      </c>
      <c r="AU524" s="7">
        <v>-0.6417</v>
      </c>
      <c r="AV524" s="4">
        <v>20</v>
      </c>
      <c r="AW524" s="8">
        <v>257.6</v>
      </c>
      <c r="AX524" s="4">
        <v>69</v>
      </c>
      <c r="AY524" s="8">
        <v>718.98</v>
      </c>
      <c r="AZ524" s="7">
        <v>-0.7101</v>
      </c>
      <c r="BA524" s="7">
        <v>-0.6417</v>
      </c>
      <c r="BB524" s="7">
        <v>1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>
        <v>0.0995</v>
      </c>
      <c r="BJ524" s="4">
        <v>278</v>
      </c>
      <c r="BK524" s="8">
        <v>3458.3</v>
      </c>
      <c r="BL524" s="2" t="s">
        <v>1296</v>
      </c>
      <c r="BM524" s="7">
        <v>0.0719</v>
      </c>
      <c r="BN524" s="7">
        <v>0.0745</v>
      </c>
      <c r="BO524" s="4">
        <v>20</v>
      </c>
      <c r="BP524" s="8">
        <v>257.6</v>
      </c>
      <c r="BQ524" s="4">
        <v>69</v>
      </c>
      <c r="BR524" s="8">
        <v>718.98</v>
      </c>
      <c r="BS524" s="7">
        <v>-0.7101</v>
      </c>
      <c r="BT524" s="7">
        <v>-0.6417</v>
      </c>
      <c r="BU524" s="2" t="s">
        <v>107</v>
      </c>
      <c r="BV524" s="2" t="s">
        <v>108</v>
      </c>
      <c r="BW524" s="2" t="s">
        <v>244</v>
      </c>
      <c r="BX524" s="2" t="s">
        <v>393</v>
      </c>
      <c r="BY524" s="2" t="s">
        <v>111</v>
      </c>
    </row>
    <row r="525">
      <c r="A525" s="2" t="s">
        <v>1818</v>
      </c>
      <c r="B525" s="2" t="s">
        <v>86</v>
      </c>
      <c r="C525" s="2" t="s">
        <v>87</v>
      </c>
      <c r="D525" s="2" t="s">
        <v>1786</v>
      </c>
      <c r="E525" s="2" t="s">
        <v>1786</v>
      </c>
      <c r="F525" s="2" t="s">
        <v>477</v>
      </c>
      <c r="G525" s="2" t="s">
        <v>478</v>
      </c>
      <c r="H525" s="2" t="s">
        <v>479</v>
      </c>
      <c r="I525" s="2" t="s">
        <v>1807</v>
      </c>
      <c r="J525" s="2" t="s">
        <v>1808</v>
      </c>
      <c r="K525" s="2" t="s">
        <v>510</v>
      </c>
      <c r="L525" s="3">
        <v>11.76</v>
      </c>
      <c r="M525" s="3">
        <v>12.35</v>
      </c>
      <c r="N525" s="3">
        <v>27.99</v>
      </c>
      <c r="O525" s="2" t="s">
        <v>95</v>
      </c>
      <c r="P525" s="2" t="s">
        <v>215</v>
      </c>
      <c r="Q525" s="2" t="s">
        <v>97</v>
      </c>
      <c r="R525" s="2" t="s">
        <v>98</v>
      </c>
      <c r="S525" s="2" t="s">
        <v>511</v>
      </c>
      <c r="T525" s="2" t="s">
        <v>98</v>
      </c>
      <c r="U525" s="2" t="s">
        <v>98</v>
      </c>
      <c r="V525" s="2" t="s">
        <v>482</v>
      </c>
      <c r="W525" s="2" t="s">
        <v>102</v>
      </c>
      <c r="X525" s="2" t="s">
        <v>98</v>
      </c>
      <c r="Y525" s="2" t="s">
        <v>1809</v>
      </c>
      <c r="Z525" s="4">
        <v>156</v>
      </c>
      <c r="AA525" s="4">
        <f>=ROUNDDOWN(9.75,0)</f>
      </c>
      <c r="AB525" s="5">
        <v>16</v>
      </c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18</v>
      </c>
      <c r="AQ525" s="8">
        <v>231.84</v>
      </c>
      <c r="AR525" s="4">
        <v>80</v>
      </c>
      <c r="AS525" s="8">
        <v>833.6</v>
      </c>
      <c r="AT525" s="7">
        <v>-0.775</v>
      </c>
      <c r="AU525" s="7">
        <v>-0.7219</v>
      </c>
      <c r="AV525" s="4">
        <v>18</v>
      </c>
      <c r="AW525" s="8">
        <v>231.84</v>
      </c>
      <c r="AX525" s="4">
        <v>80</v>
      </c>
      <c r="AY525" s="8">
        <v>833.6</v>
      </c>
      <c r="AZ525" s="7">
        <v>-0.775</v>
      </c>
      <c r="BA525" s="7">
        <v>-0.7219</v>
      </c>
      <c r="BB525" s="7">
        <v>1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0.0896</v>
      </c>
      <c r="BJ525" s="4">
        <v>274</v>
      </c>
      <c r="BK525" s="8">
        <v>3325.68</v>
      </c>
      <c r="BL525" s="2" t="s">
        <v>1819</v>
      </c>
      <c r="BM525" s="7">
        <v>0.0657</v>
      </c>
      <c r="BN525" s="7">
        <v>0.0697</v>
      </c>
      <c r="BO525" s="4">
        <v>18</v>
      </c>
      <c r="BP525" s="8">
        <v>231.84</v>
      </c>
      <c r="BQ525" s="4">
        <v>80</v>
      </c>
      <c r="BR525" s="8">
        <v>833.6</v>
      </c>
      <c r="BS525" s="7">
        <v>-0.775</v>
      </c>
      <c r="BT525" s="7">
        <v>-0.7219</v>
      </c>
      <c r="BU525" s="2" t="s">
        <v>107</v>
      </c>
      <c r="BV525" s="2" t="s">
        <v>108</v>
      </c>
      <c r="BW525" s="2" t="s">
        <v>244</v>
      </c>
      <c r="BX525" s="2" t="s">
        <v>1820</v>
      </c>
      <c r="BY525" s="2" t="s">
        <v>111</v>
      </c>
    </row>
    <row r="526">
      <c r="A526" s="2" t="s">
        <v>1821</v>
      </c>
      <c r="B526" s="2" t="s">
        <v>86</v>
      </c>
      <c r="C526" s="2" t="s">
        <v>87</v>
      </c>
      <c r="D526" s="2" t="s">
        <v>1786</v>
      </c>
      <c r="E526" s="2" t="s">
        <v>1786</v>
      </c>
      <c r="F526" s="2" t="s">
        <v>477</v>
      </c>
      <c r="G526" s="2" t="s">
        <v>478</v>
      </c>
      <c r="H526" s="2" t="s">
        <v>479</v>
      </c>
      <c r="I526" s="2" t="s">
        <v>1807</v>
      </c>
      <c r="J526" s="2" t="s">
        <v>1808</v>
      </c>
      <c r="K526" s="2" t="s">
        <v>464</v>
      </c>
      <c r="L526" s="3">
        <v>11.76</v>
      </c>
      <c r="M526" s="3">
        <v>12.35</v>
      </c>
      <c r="N526" s="3">
        <v>27.99</v>
      </c>
      <c r="O526" s="2" t="s">
        <v>95</v>
      </c>
      <c r="P526" s="2" t="s">
        <v>150</v>
      </c>
      <c r="Q526" s="2" t="s">
        <v>97</v>
      </c>
      <c r="R526" s="2" t="s">
        <v>98</v>
      </c>
      <c r="S526" s="2" t="s">
        <v>481</v>
      </c>
      <c r="T526" s="2" t="s">
        <v>98</v>
      </c>
      <c r="U526" s="2" t="s">
        <v>98</v>
      </c>
      <c r="V526" s="2" t="s">
        <v>482</v>
      </c>
      <c r="W526" s="2" t="s">
        <v>102</v>
      </c>
      <c r="X526" s="2" t="s">
        <v>98</v>
      </c>
      <c r="Y526" s="2" t="s">
        <v>1815</v>
      </c>
      <c r="Z526" s="4">
        <v>196</v>
      </c>
      <c r="AA526" s="4">
        <f>=ROUNDDOWN(12.25,0)</f>
      </c>
      <c r="AB526" s="5">
        <v>16</v>
      </c>
      <c r="AC526" s="2" t="s">
        <v>224</v>
      </c>
      <c r="AD526" s="4">
        <v>256</v>
      </c>
      <c r="AE526" s="4">
        <v>352</v>
      </c>
      <c r="AF526" s="6">
        <v>65</v>
      </c>
      <c r="AG526" s="6"/>
      <c r="AH526" s="7">
        <v>1</v>
      </c>
      <c r="AI526" s="4"/>
      <c r="AJ526" s="4">
        <f>=ROUNDDOWN({0},0)</f>
      </c>
      <c r="AK526" s="5">
        <v>0.5</v>
      </c>
      <c r="AL526" s="2" t="s">
        <v>98</v>
      </c>
      <c r="AM526" s="4"/>
      <c r="AN526" s="4"/>
      <c r="AO526" s="7">
        <v>1</v>
      </c>
      <c r="AP526" s="4">
        <v>14</v>
      </c>
      <c r="AQ526" s="8">
        <v>180.32</v>
      </c>
      <c r="AR526" s="4">
        <v>47</v>
      </c>
      <c r="AS526" s="8">
        <v>489.74</v>
      </c>
      <c r="AT526" s="7">
        <v>-0.7021</v>
      </c>
      <c r="AU526" s="7">
        <v>-0.6318</v>
      </c>
      <c r="AV526" s="4">
        <v>14</v>
      </c>
      <c r="AW526" s="8">
        <v>180.32</v>
      </c>
      <c r="AX526" s="4">
        <v>47</v>
      </c>
      <c r="AY526" s="8">
        <v>489.74</v>
      </c>
      <c r="AZ526" s="7">
        <v>-0.7021</v>
      </c>
      <c r="BA526" s="7">
        <v>-0.6318</v>
      </c>
      <c r="BB526" s="7">
        <v>1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0.0697</v>
      </c>
      <c r="BJ526" s="4">
        <v>167</v>
      </c>
      <c r="BK526" s="8">
        <v>2082.04</v>
      </c>
      <c r="BL526" s="2" t="s">
        <v>1822</v>
      </c>
      <c r="BM526" s="7">
        <v>0.0838</v>
      </c>
      <c r="BN526" s="7">
        <v>0.0866</v>
      </c>
      <c r="BO526" s="4">
        <v>14</v>
      </c>
      <c r="BP526" s="8">
        <v>180.32</v>
      </c>
      <c r="BQ526" s="4">
        <v>47</v>
      </c>
      <c r="BR526" s="8">
        <v>489.74</v>
      </c>
      <c r="BS526" s="7">
        <v>-0.7021</v>
      </c>
      <c r="BT526" s="7">
        <v>-0.6318</v>
      </c>
      <c r="BU526" s="2" t="s">
        <v>107</v>
      </c>
      <c r="BV526" s="2" t="s">
        <v>108</v>
      </c>
      <c r="BW526" s="2" t="s">
        <v>244</v>
      </c>
      <c r="BX526" s="2" t="s">
        <v>1823</v>
      </c>
      <c r="BY526" s="2" t="s">
        <v>111</v>
      </c>
    </row>
    <row r="527">
      <c r="A527" s="2" t="s">
        <v>1824</v>
      </c>
      <c r="B527" s="2" t="s">
        <v>86</v>
      </c>
      <c r="C527" s="2" t="s">
        <v>87</v>
      </c>
      <c r="D527" s="2" t="s">
        <v>1786</v>
      </c>
      <c r="E527" s="2" t="s">
        <v>1786</v>
      </c>
      <c r="F527" s="2" t="s">
        <v>793</v>
      </c>
      <c r="G527" s="2" t="s">
        <v>794</v>
      </c>
      <c r="H527" s="2" t="s">
        <v>1598</v>
      </c>
      <c r="I527" s="2" t="s">
        <v>1825</v>
      </c>
      <c r="J527" s="2" t="s">
        <v>1808</v>
      </c>
      <c r="K527" s="2" t="s">
        <v>299</v>
      </c>
      <c r="L527" s="3">
        <v>12.6</v>
      </c>
      <c r="M527" s="3">
        <v>13.23</v>
      </c>
      <c r="N527" s="3">
        <v>26.99</v>
      </c>
      <c r="O527" s="2" t="s">
        <v>95</v>
      </c>
      <c r="P527" s="2" t="s">
        <v>699</v>
      </c>
      <c r="Q527" s="2" t="s">
        <v>97</v>
      </c>
      <c r="R527" s="2" t="s">
        <v>98</v>
      </c>
      <c r="S527" s="2" t="s">
        <v>1826</v>
      </c>
      <c r="T527" s="2" t="s">
        <v>878</v>
      </c>
      <c r="U527" s="2" t="s">
        <v>100</v>
      </c>
      <c r="V527" s="2" t="s">
        <v>798</v>
      </c>
      <c r="W527" s="2" t="s">
        <v>649</v>
      </c>
      <c r="X527" s="2" t="s">
        <v>98</v>
      </c>
      <c r="Y527" s="2" t="s">
        <v>1484</v>
      </c>
      <c r="Z527" s="4">
        <v>198</v>
      </c>
      <c r="AA527" s="4">
        <f>=ROUNDDOWN(7.33333333333333,0)</f>
      </c>
      <c r="AB527" s="5">
        <v>27</v>
      </c>
      <c r="AC527" s="2" t="s">
        <v>250</v>
      </c>
      <c r="AD527" s="4">
        <v>200</v>
      </c>
      <c r="AE527" s="4">
        <v>896</v>
      </c>
      <c r="AF527" s="6">
        <v>66</v>
      </c>
      <c r="AG527" s="6"/>
      <c r="AH527" s="7">
        <v>0.7556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2</v>
      </c>
      <c r="AQ527" s="8">
        <v>27.6</v>
      </c>
      <c r="AR527" s="4"/>
      <c r="AS527" s="8"/>
      <c r="AT527" s="7"/>
      <c r="AU527" s="7"/>
      <c r="AV527" s="4">
        <v>70</v>
      </c>
      <c r="AW527" s="8">
        <v>890.52</v>
      </c>
      <c r="AX527" s="4">
        <v>139</v>
      </c>
      <c r="AY527" s="8">
        <v>1380.27</v>
      </c>
      <c r="AZ527" s="7">
        <v>-0.4964</v>
      </c>
      <c r="BA527" s="7">
        <v>-0.3548</v>
      </c>
      <c r="BB527" s="7">
        <v>1</v>
      </c>
      <c r="BC527" s="4">
        <v>176</v>
      </c>
      <c r="BD527" s="8">
        <v>2274.66</v>
      </c>
      <c r="BE527" s="4">
        <v>1251</v>
      </c>
      <c r="BF527" s="8">
        <v>13273.59</v>
      </c>
      <c r="BG527" s="7">
        <v>-0.8593</v>
      </c>
      <c r="BH527" s="7">
        <v>-0.8286</v>
      </c>
      <c r="BI527" s="7">
        <v>0.3915</v>
      </c>
      <c r="BJ527" s="4">
        <v>278</v>
      </c>
      <c r="BK527" s="8">
        <v>4553.54</v>
      </c>
      <c r="BL527" s="2" t="s">
        <v>1827</v>
      </c>
      <c r="BM527" s="7">
        <v>0.0072</v>
      </c>
      <c r="BN527" s="7">
        <v>0.0061</v>
      </c>
      <c r="BO527" s="4">
        <v>2</v>
      </c>
      <c r="BP527" s="8">
        <v>27.6</v>
      </c>
      <c r="BQ527" s="4"/>
      <c r="BR527" s="8"/>
      <c r="BS527" s="7"/>
      <c r="BT527" s="7"/>
      <c r="BU527" s="2" t="s">
        <v>107</v>
      </c>
      <c r="BV527" s="2" t="s">
        <v>108</v>
      </c>
      <c r="BW527" s="2" t="s">
        <v>171</v>
      </c>
      <c r="BX527" s="2" t="s">
        <v>259</v>
      </c>
      <c r="BY527" s="2" t="s">
        <v>111</v>
      </c>
    </row>
    <row r="528">
      <c r="A528" s="2" t="s">
        <v>1828</v>
      </c>
      <c r="B528" s="2" t="s">
        <v>86</v>
      </c>
      <c r="C528" s="2" t="s">
        <v>87</v>
      </c>
      <c r="D528" s="2" t="s">
        <v>1786</v>
      </c>
      <c r="E528" s="2" t="s">
        <v>1786</v>
      </c>
      <c r="F528" s="2" t="s">
        <v>793</v>
      </c>
      <c r="G528" s="2" t="s">
        <v>794</v>
      </c>
      <c r="H528" s="2" t="s">
        <v>1598</v>
      </c>
      <c r="I528" s="2" t="s">
        <v>1829</v>
      </c>
      <c r="J528" s="2" t="s">
        <v>1808</v>
      </c>
      <c r="K528" s="2" t="s">
        <v>299</v>
      </c>
      <c r="L528" s="3">
        <v>11.07</v>
      </c>
      <c r="M528" s="3">
        <v>11.62</v>
      </c>
      <c r="N528" s="3">
        <v>26.99</v>
      </c>
      <c r="O528" s="2" t="s">
        <v>95</v>
      </c>
      <c r="P528" s="2" t="s">
        <v>699</v>
      </c>
      <c r="Q528" s="2" t="s">
        <v>97</v>
      </c>
      <c r="R528" s="2" t="s">
        <v>98</v>
      </c>
      <c r="S528" s="2" t="s">
        <v>1600</v>
      </c>
      <c r="T528" s="2" t="s">
        <v>98</v>
      </c>
      <c r="U528" s="2" t="s">
        <v>98</v>
      </c>
      <c r="V528" s="2" t="s">
        <v>798</v>
      </c>
      <c r="W528" s="2" t="s">
        <v>649</v>
      </c>
      <c r="X528" s="2" t="s">
        <v>98</v>
      </c>
      <c r="Y528" s="2" t="s">
        <v>1830</v>
      </c>
      <c r="Z528" s="4">
        <v>108</v>
      </c>
      <c r="AA528" s="4">
        <f>=ROUNDDOWN(2.4,0)</f>
      </c>
      <c r="AB528" s="5">
        <v>45</v>
      </c>
      <c r="AC528" s="2" t="s">
        <v>489</v>
      </c>
      <c r="AD528" s="4">
        <v>152</v>
      </c>
      <c r="AE528" s="4">
        <v>1496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1</v>
      </c>
      <c r="AP528" s="4">
        <v>68</v>
      </c>
      <c r="AQ528" s="8">
        <v>862.92</v>
      </c>
      <c r="AR528" s="4">
        <v>139</v>
      </c>
      <c r="AS528" s="8">
        <v>1380.27</v>
      </c>
      <c r="AT528" s="7">
        <v>-0.5108</v>
      </c>
      <c r="AU528" s="7">
        <v>-0.3748</v>
      </c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 t="s">
        <v>98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453</v>
      </c>
      <c r="BK528" s="8">
        <v>5306.51</v>
      </c>
      <c r="BL528" s="2" t="s">
        <v>1831</v>
      </c>
      <c r="BM528" s="7">
        <v>0.1501</v>
      </c>
      <c r="BN528" s="7">
        <v>0.1626</v>
      </c>
      <c r="BO528" s="4">
        <v>68</v>
      </c>
      <c r="BP528" s="8">
        <v>862.92</v>
      </c>
      <c r="BQ528" s="4">
        <v>139</v>
      </c>
      <c r="BR528" s="8">
        <v>1380.27</v>
      </c>
      <c r="BS528" s="7">
        <v>-0.5108</v>
      </c>
      <c r="BT528" s="7">
        <v>-0.3748</v>
      </c>
      <c r="BU528" s="2" t="s">
        <v>107</v>
      </c>
      <c r="BV528" s="2" t="s">
        <v>108</v>
      </c>
      <c r="BW528" s="2" t="s">
        <v>244</v>
      </c>
      <c r="BX528" s="2" t="s">
        <v>1285</v>
      </c>
      <c r="BY528" s="2" t="s">
        <v>111</v>
      </c>
    </row>
    <row r="529">
      <c r="A529" s="2" t="s">
        <v>1832</v>
      </c>
      <c r="B529" s="2" t="s">
        <v>86</v>
      </c>
      <c r="C529" s="2" t="s">
        <v>87</v>
      </c>
      <c r="D529" s="2" t="s">
        <v>1786</v>
      </c>
      <c r="E529" s="2" t="s">
        <v>1786</v>
      </c>
      <c r="F529" s="2" t="s">
        <v>793</v>
      </c>
      <c r="G529" s="2" t="s">
        <v>794</v>
      </c>
      <c r="H529" s="2" t="s">
        <v>1598</v>
      </c>
      <c r="I529" s="2" t="s">
        <v>1829</v>
      </c>
      <c r="J529" s="2" t="s">
        <v>1808</v>
      </c>
      <c r="K529" s="2" t="s">
        <v>312</v>
      </c>
      <c r="L529" s="3">
        <v>11.07</v>
      </c>
      <c r="M529" s="3">
        <v>11.62</v>
      </c>
      <c r="N529" s="3">
        <v>26.99</v>
      </c>
      <c r="O529" s="2" t="s">
        <v>95</v>
      </c>
      <c r="P529" s="2" t="s">
        <v>150</v>
      </c>
      <c r="Q529" s="2" t="s">
        <v>97</v>
      </c>
      <c r="R529" s="2" t="s">
        <v>98</v>
      </c>
      <c r="S529" s="2" t="s">
        <v>797</v>
      </c>
      <c r="T529" s="2" t="s">
        <v>98</v>
      </c>
      <c r="U529" s="2" t="s">
        <v>98</v>
      </c>
      <c r="V529" s="2" t="s">
        <v>798</v>
      </c>
      <c r="W529" s="2" t="s">
        <v>649</v>
      </c>
      <c r="X529" s="2" t="s">
        <v>98</v>
      </c>
      <c r="Y529" s="2" t="s">
        <v>104</v>
      </c>
      <c r="Z529" s="4">
        <v>182</v>
      </c>
      <c r="AA529" s="4">
        <f>=ROUNDDOWN(5.51515151515152,0)</f>
      </c>
      <c r="AB529" s="5">
        <v>33</v>
      </c>
      <c r="AC529" s="2" t="s">
        <v>253</v>
      </c>
      <c r="AD529" s="4">
        <v>384</v>
      </c>
      <c r="AE529" s="4">
        <v>952</v>
      </c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21</v>
      </c>
      <c r="AQ529" s="8">
        <v>260.82</v>
      </c>
      <c r="AR529" s="4">
        <v>82</v>
      </c>
      <c r="AS529" s="8">
        <v>814.26</v>
      </c>
      <c r="AT529" s="7">
        <v>-0.7439</v>
      </c>
      <c r="AU529" s="7">
        <v>-0.6797</v>
      </c>
      <c r="AV529" s="4">
        <v>54</v>
      </c>
      <c r="AW529" s="8">
        <v>716.22</v>
      </c>
      <c r="AX529" s="4">
        <v>328</v>
      </c>
      <c r="AY529" s="8">
        <v>3559.62</v>
      </c>
      <c r="AZ529" s="7">
        <v>-0.8354</v>
      </c>
      <c r="BA529" s="7">
        <v>-0.7988</v>
      </c>
      <c r="BB529" s="7">
        <v>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0.3149</v>
      </c>
      <c r="BJ529" s="4">
        <v>317</v>
      </c>
      <c r="BK529" s="8">
        <v>3715.64</v>
      </c>
      <c r="BL529" s="2" t="s">
        <v>1250</v>
      </c>
      <c r="BM529" s="7">
        <v>0.0662</v>
      </c>
      <c r="BN529" s="7">
        <v>0.0702</v>
      </c>
      <c r="BO529" s="4">
        <v>21</v>
      </c>
      <c r="BP529" s="8">
        <v>260.82</v>
      </c>
      <c r="BQ529" s="4">
        <v>82</v>
      </c>
      <c r="BR529" s="8">
        <v>814.26</v>
      </c>
      <c r="BS529" s="7">
        <v>-0.7439</v>
      </c>
      <c r="BT529" s="7">
        <v>-0.6797</v>
      </c>
      <c r="BU529" s="2" t="s">
        <v>107</v>
      </c>
      <c r="BV529" s="2" t="s">
        <v>108</v>
      </c>
      <c r="BW529" s="2" t="s">
        <v>109</v>
      </c>
      <c r="BX529" s="2" t="s">
        <v>390</v>
      </c>
      <c r="BY529" s="2" t="s">
        <v>111</v>
      </c>
    </row>
    <row r="530">
      <c r="A530" s="2" t="s">
        <v>1833</v>
      </c>
      <c r="B530" s="2" t="s">
        <v>86</v>
      </c>
      <c r="C530" s="2" t="s">
        <v>87</v>
      </c>
      <c r="D530" s="2" t="s">
        <v>1786</v>
      </c>
      <c r="E530" s="2" t="s">
        <v>1786</v>
      </c>
      <c r="F530" s="2" t="s">
        <v>793</v>
      </c>
      <c r="G530" s="2" t="s">
        <v>794</v>
      </c>
      <c r="H530" s="2" t="s">
        <v>1598</v>
      </c>
      <c r="I530" s="2" t="s">
        <v>1825</v>
      </c>
      <c r="J530" s="2" t="s">
        <v>1808</v>
      </c>
      <c r="K530" s="2" t="s">
        <v>312</v>
      </c>
      <c r="L530" s="3">
        <v>12.6</v>
      </c>
      <c r="M530" s="3">
        <v>13.23</v>
      </c>
      <c r="N530" s="3">
        <v>29.99</v>
      </c>
      <c r="O530" s="2" t="s">
        <v>95</v>
      </c>
      <c r="P530" s="2" t="s">
        <v>150</v>
      </c>
      <c r="Q530" s="2" t="s">
        <v>97</v>
      </c>
      <c r="R530" s="2" t="s">
        <v>98</v>
      </c>
      <c r="S530" s="2" t="s">
        <v>98</v>
      </c>
      <c r="T530" s="2" t="s">
        <v>98</v>
      </c>
      <c r="U530" s="2" t="s">
        <v>100</v>
      </c>
      <c r="V530" s="2" t="s">
        <v>798</v>
      </c>
      <c r="W530" s="2" t="s">
        <v>649</v>
      </c>
      <c r="X530" s="2" t="s">
        <v>98</v>
      </c>
      <c r="Y530" s="2" t="s">
        <v>1834</v>
      </c>
      <c r="Z530" s="4">
        <v>181</v>
      </c>
      <c r="AA530" s="4">
        <f>=ROUNDDOWN(3.97802197802198,0)</f>
      </c>
      <c r="AB530" s="5">
        <v>45.5</v>
      </c>
      <c r="AC530" s="2" t="s">
        <v>250</v>
      </c>
      <c r="AD530" s="4">
        <v>184</v>
      </c>
      <c r="AE530" s="4">
        <v>1528</v>
      </c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33</v>
      </c>
      <c r="AQ530" s="8">
        <v>455.4</v>
      </c>
      <c r="AR530" s="4">
        <v>246</v>
      </c>
      <c r="AS530" s="8">
        <v>2745.36</v>
      </c>
      <c r="AT530" s="7">
        <v>-0.8659</v>
      </c>
      <c r="AU530" s="7">
        <v>-0.8341</v>
      </c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 t="s">
        <v>98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365</v>
      </c>
      <c r="BK530" s="8">
        <v>4968.58</v>
      </c>
      <c r="BL530" s="2" t="s">
        <v>1835</v>
      </c>
      <c r="BM530" s="7">
        <v>0.0904</v>
      </c>
      <c r="BN530" s="7">
        <v>0.0917</v>
      </c>
      <c r="BO530" s="4">
        <v>33</v>
      </c>
      <c r="BP530" s="8">
        <v>455.4</v>
      </c>
      <c r="BQ530" s="4">
        <v>246</v>
      </c>
      <c r="BR530" s="8">
        <v>2745.36</v>
      </c>
      <c r="BS530" s="7">
        <v>-0.8659</v>
      </c>
      <c r="BT530" s="7">
        <v>-0.8341</v>
      </c>
      <c r="BU530" s="2" t="s">
        <v>107</v>
      </c>
      <c r="BV530" s="2" t="s">
        <v>108</v>
      </c>
      <c r="BW530" s="2" t="s">
        <v>659</v>
      </c>
      <c r="BX530" s="2" t="s">
        <v>1454</v>
      </c>
      <c r="BY530" s="2" t="s">
        <v>111</v>
      </c>
    </row>
    <row r="531">
      <c r="A531" s="2" t="s">
        <v>1836</v>
      </c>
      <c r="B531" s="2" t="s">
        <v>86</v>
      </c>
      <c r="C531" s="2" t="s">
        <v>87</v>
      </c>
      <c r="D531" s="2" t="s">
        <v>1786</v>
      </c>
      <c r="E531" s="2" t="s">
        <v>1786</v>
      </c>
      <c r="F531" s="2" t="s">
        <v>793</v>
      </c>
      <c r="G531" s="2" t="s">
        <v>794</v>
      </c>
      <c r="H531" s="2" t="s">
        <v>1598</v>
      </c>
      <c r="I531" s="2" t="s">
        <v>1829</v>
      </c>
      <c r="J531" s="2" t="s">
        <v>1808</v>
      </c>
      <c r="K531" s="2" t="s">
        <v>1614</v>
      </c>
      <c r="L531" s="3">
        <v>11.07</v>
      </c>
      <c r="M531" s="3">
        <v>11.62</v>
      </c>
      <c r="N531" s="3">
        <v>26.99</v>
      </c>
      <c r="O531" s="2" t="s">
        <v>95</v>
      </c>
      <c r="P531" s="2" t="s">
        <v>150</v>
      </c>
      <c r="Q531" s="2" t="s">
        <v>97</v>
      </c>
      <c r="R531" s="2" t="s">
        <v>98</v>
      </c>
      <c r="S531" s="2" t="s">
        <v>1615</v>
      </c>
      <c r="T531" s="2" t="s">
        <v>98</v>
      </c>
      <c r="U531" s="2" t="s">
        <v>98</v>
      </c>
      <c r="V531" s="2" t="s">
        <v>798</v>
      </c>
      <c r="W531" s="2" t="s">
        <v>649</v>
      </c>
      <c r="X531" s="2" t="s">
        <v>98</v>
      </c>
      <c r="Y531" s="2" t="s">
        <v>104</v>
      </c>
      <c r="Z531" s="4">
        <v>202</v>
      </c>
      <c r="AA531" s="4">
        <f>=ROUNDDOWN(13.4666666666667,0)</f>
      </c>
      <c r="AB531" s="5">
        <v>15</v>
      </c>
      <c r="AC531" s="2" t="s">
        <v>253</v>
      </c>
      <c r="AD531" s="4">
        <v>216</v>
      </c>
      <c r="AE531" s="4">
        <v>344</v>
      </c>
      <c r="AF531" s="6">
        <v>66</v>
      </c>
      <c r="AG531" s="6"/>
      <c r="AH531" s="7">
        <v>0.9778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17</v>
      </c>
      <c r="AQ531" s="8">
        <v>211.14</v>
      </c>
      <c r="AR531" s="4">
        <v>142</v>
      </c>
      <c r="AS531" s="8">
        <v>1410.06</v>
      </c>
      <c r="AT531" s="7">
        <v>-0.8803</v>
      </c>
      <c r="AU531" s="7">
        <v>-0.8503</v>
      </c>
      <c r="AV531" s="4">
        <v>30</v>
      </c>
      <c r="AW531" s="8">
        <v>390.54</v>
      </c>
      <c r="AX531" s="4">
        <v>373</v>
      </c>
      <c r="AY531" s="8">
        <v>3988.02</v>
      </c>
      <c r="AZ531" s="7">
        <v>-0.9196</v>
      </c>
      <c r="BA531" s="7">
        <v>-0.9021</v>
      </c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0.1717</v>
      </c>
      <c r="BJ531" s="4">
        <v>279</v>
      </c>
      <c r="BK531" s="8">
        <v>3318.6</v>
      </c>
      <c r="BL531" s="2" t="s">
        <v>1837</v>
      </c>
      <c r="BM531" s="7">
        <v>0.0609</v>
      </c>
      <c r="BN531" s="7">
        <v>0.0636</v>
      </c>
      <c r="BO531" s="4">
        <v>17</v>
      </c>
      <c r="BP531" s="8">
        <v>211.14</v>
      </c>
      <c r="BQ531" s="4">
        <v>142</v>
      </c>
      <c r="BR531" s="8">
        <v>1410.06</v>
      </c>
      <c r="BS531" s="7">
        <v>-0.8803</v>
      </c>
      <c r="BT531" s="7">
        <v>-0.8503</v>
      </c>
      <c r="BU531" s="2" t="s">
        <v>107</v>
      </c>
      <c r="BV531" s="2" t="s">
        <v>108</v>
      </c>
      <c r="BW531" s="2" t="s">
        <v>109</v>
      </c>
      <c r="BX531" s="2" t="s">
        <v>1285</v>
      </c>
      <c r="BY531" s="2" t="s">
        <v>111</v>
      </c>
    </row>
    <row r="532">
      <c r="A532" s="2" t="s">
        <v>1838</v>
      </c>
      <c r="B532" s="2" t="s">
        <v>86</v>
      </c>
      <c r="C532" s="2" t="s">
        <v>87</v>
      </c>
      <c r="D532" s="2" t="s">
        <v>1786</v>
      </c>
      <c r="E532" s="2" t="s">
        <v>1786</v>
      </c>
      <c r="F532" s="2" t="s">
        <v>793</v>
      </c>
      <c r="G532" s="2" t="s">
        <v>794</v>
      </c>
      <c r="H532" s="2" t="s">
        <v>1598</v>
      </c>
      <c r="I532" s="2" t="s">
        <v>1825</v>
      </c>
      <c r="J532" s="2" t="s">
        <v>1808</v>
      </c>
      <c r="K532" s="2" t="s">
        <v>1614</v>
      </c>
      <c r="L532" s="3">
        <v>12.6</v>
      </c>
      <c r="M532" s="3">
        <v>13.23</v>
      </c>
      <c r="N532" s="3">
        <v>29.99</v>
      </c>
      <c r="O532" s="2" t="s">
        <v>95</v>
      </c>
      <c r="P532" s="2" t="s">
        <v>150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100</v>
      </c>
      <c r="V532" s="2" t="s">
        <v>798</v>
      </c>
      <c r="W532" s="2" t="s">
        <v>649</v>
      </c>
      <c r="X532" s="2" t="s">
        <v>98</v>
      </c>
      <c r="Y532" s="2" t="s">
        <v>1839</v>
      </c>
      <c r="Z532" s="4">
        <v>504</v>
      </c>
      <c r="AA532" s="4">
        <f>=ROUNDDOWN(15.75,0)</f>
      </c>
      <c r="AB532" s="5">
        <v>32</v>
      </c>
      <c r="AC532" s="2" t="s">
        <v>250</v>
      </c>
      <c r="AD532" s="4">
        <v>504</v>
      </c>
      <c r="AE532" s="4">
        <v>1304</v>
      </c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13</v>
      </c>
      <c r="AQ532" s="8">
        <v>179.4</v>
      </c>
      <c r="AR532" s="4">
        <v>231</v>
      </c>
      <c r="AS532" s="8">
        <v>2577.96</v>
      </c>
      <c r="AT532" s="7">
        <v>-0.9437</v>
      </c>
      <c r="AU532" s="7">
        <v>-0.9304</v>
      </c>
      <c r="AV532" s="4" t="s">
        <v>98</v>
      </c>
      <c r="AW532" s="8" t="s">
        <v>98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 t="s">
        <v>98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 t="s">
        <v>98</v>
      </c>
      <c r="BJ532" s="4">
        <v>259</v>
      </c>
      <c r="BK532" s="8">
        <v>3411.38</v>
      </c>
      <c r="BL532" s="2" t="s">
        <v>405</v>
      </c>
      <c r="BM532" s="7">
        <v>0.0502</v>
      </c>
      <c r="BN532" s="7">
        <v>0.0526</v>
      </c>
      <c r="BO532" s="4">
        <v>13</v>
      </c>
      <c r="BP532" s="8">
        <v>179.4</v>
      </c>
      <c r="BQ532" s="4">
        <v>231</v>
      </c>
      <c r="BR532" s="8">
        <v>2577.96</v>
      </c>
      <c r="BS532" s="7">
        <v>-0.9437</v>
      </c>
      <c r="BT532" s="7">
        <v>-0.9304</v>
      </c>
      <c r="BU532" s="2" t="s">
        <v>107</v>
      </c>
      <c r="BV532" s="2" t="s">
        <v>108</v>
      </c>
      <c r="BW532" s="2" t="s">
        <v>659</v>
      </c>
      <c r="BX532" s="2" t="s">
        <v>690</v>
      </c>
      <c r="BY532" s="2" t="s">
        <v>111</v>
      </c>
    </row>
    <row r="533">
      <c r="A533" s="2" t="s">
        <v>1840</v>
      </c>
      <c r="B533" s="2" t="s">
        <v>86</v>
      </c>
      <c r="C533" s="2" t="s">
        <v>87</v>
      </c>
      <c r="D533" s="2" t="s">
        <v>1786</v>
      </c>
      <c r="E533" s="2" t="s">
        <v>1786</v>
      </c>
      <c r="F533" s="2" t="s">
        <v>793</v>
      </c>
      <c r="G533" s="2" t="s">
        <v>794</v>
      </c>
      <c r="H533" s="2" t="s">
        <v>1598</v>
      </c>
      <c r="I533" s="2" t="s">
        <v>1829</v>
      </c>
      <c r="J533" s="2" t="s">
        <v>1808</v>
      </c>
      <c r="K533" s="2" t="s">
        <v>760</v>
      </c>
      <c r="L533" s="3">
        <v>11.07</v>
      </c>
      <c r="M533" s="3">
        <v>11.62</v>
      </c>
      <c r="N533" s="3">
        <v>26.99</v>
      </c>
      <c r="O533" s="2" t="s">
        <v>95</v>
      </c>
      <c r="P533" s="2" t="s">
        <v>129</v>
      </c>
      <c r="Q533" s="2" t="s">
        <v>97</v>
      </c>
      <c r="R533" s="2" t="s">
        <v>98</v>
      </c>
      <c r="S533" s="2" t="s">
        <v>804</v>
      </c>
      <c r="T533" s="2" t="s">
        <v>98</v>
      </c>
      <c r="U533" s="2" t="s">
        <v>98</v>
      </c>
      <c r="V533" s="2" t="s">
        <v>798</v>
      </c>
      <c r="W533" s="2" t="s">
        <v>649</v>
      </c>
      <c r="X533" s="2" t="s">
        <v>98</v>
      </c>
      <c r="Y533" s="2" t="s">
        <v>104</v>
      </c>
      <c r="Z533" s="4">
        <v>314</v>
      </c>
      <c r="AA533" s="4">
        <f>=ROUNDDOWN(11.6296296296296,0)</f>
      </c>
      <c r="AB533" s="5">
        <v>27</v>
      </c>
      <c r="AC533" s="2" t="s">
        <v>250</v>
      </c>
      <c r="AD533" s="4">
        <v>264</v>
      </c>
      <c r="AE533" s="4">
        <v>904</v>
      </c>
      <c r="AF533" s="6">
        <v>66</v>
      </c>
      <c r="AG533" s="6"/>
      <c r="AH533" s="7">
        <v>1</v>
      </c>
      <c r="AI533" s="4"/>
      <c r="AJ533" s="4">
        <f>=ROUNDDOWN({0},0)</f>
      </c>
      <c r="AK533" s="5">
        <v>0.2</v>
      </c>
      <c r="AL533" s="2" t="s">
        <v>98</v>
      </c>
      <c r="AM533" s="4"/>
      <c r="AN533" s="4"/>
      <c r="AO533" s="7">
        <v>1</v>
      </c>
      <c r="AP533" s="4">
        <v>19</v>
      </c>
      <c r="AQ533" s="8">
        <v>235.98</v>
      </c>
      <c r="AR533" s="4">
        <v>196</v>
      </c>
      <c r="AS533" s="8">
        <v>1946.28</v>
      </c>
      <c r="AT533" s="7">
        <v>-0.9031</v>
      </c>
      <c r="AU533" s="7">
        <v>-0.8788</v>
      </c>
      <c r="AV533" s="4">
        <v>22</v>
      </c>
      <c r="AW533" s="8">
        <v>277.38</v>
      </c>
      <c r="AX533" s="4">
        <v>411</v>
      </c>
      <c r="AY533" s="8">
        <v>4345.68</v>
      </c>
      <c r="AZ533" s="7">
        <v>-0.9465</v>
      </c>
      <c r="BA533" s="7">
        <v>-0.9362</v>
      </c>
      <c r="BB533" s="7">
        <v>1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0.1219</v>
      </c>
      <c r="BJ533" s="4">
        <v>295</v>
      </c>
      <c r="BK533" s="8">
        <v>3482.53</v>
      </c>
      <c r="BL533" s="2" t="s">
        <v>1841</v>
      </c>
      <c r="BM533" s="7">
        <v>0.0644</v>
      </c>
      <c r="BN533" s="7">
        <v>0.0678</v>
      </c>
      <c r="BO533" s="4">
        <v>19</v>
      </c>
      <c r="BP533" s="8">
        <v>235.98</v>
      </c>
      <c r="BQ533" s="4">
        <v>196</v>
      </c>
      <c r="BR533" s="8">
        <v>1946.28</v>
      </c>
      <c r="BS533" s="7">
        <v>-0.9031</v>
      </c>
      <c r="BT533" s="7">
        <v>-0.8788</v>
      </c>
      <c r="BU533" s="2" t="s">
        <v>107</v>
      </c>
      <c r="BV533" s="2" t="s">
        <v>108</v>
      </c>
      <c r="BW533" s="2" t="s">
        <v>109</v>
      </c>
      <c r="BX533" s="2" t="s">
        <v>1842</v>
      </c>
      <c r="BY533" s="2" t="s">
        <v>111</v>
      </c>
    </row>
    <row r="534">
      <c r="A534" s="2" t="s">
        <v>1843</v>
      </c>
      <c r="B534" s="2" t="s">
        <v>86</v>
      </c>
      <c r="C534" s="2" t="s">
        <v>87</v>
      </c>
      <c r="D534" s="2" t="s">
        <v>1786</v>
      </c>
      <c r="E534" s="2" t="s">
        <v>1786</v>
      </c>
      <c r="F534" s="2" t="s">
        <v>793</v>
      </c>
      <c r="G534" s="2" t="s">
        <v>794</v>
      </c>
      <c r="H534" s="2" t="s">
        <v>1598</v>
      </c>
      <c r="I534" s="2" t="s">
        <v>1825</v>
      </c>
      <c r="J534" s="2" t="s">
        <v>1808</v>
      </c>
      <c r="K534" s="2" t="s">
        <v>760</v>
      </c>
      <c r="L534" s="3">
        <v>12.6</v>
      </c>
      <c r="M534" s="3">
        <v>13.23</v>
      </c>
      <c r="N534" s="3">
        <v>29.99</v>
      </c>
      <c r="O534" s="2" t="s">
        <v>95</v>
      </c>
      <c r="P534" s="2" t="s">
        <v>129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100</v>
      </c>
      <c r="V534" s="2" t="s">
        <v>798</v>
      </c>
      <c r="W534" s="2" t="s">
        <v>649</v>
      </c>
      <c r="X534" s="2" t="s">
        <v>98</v>
      </c>
      <c r="Y534" s="2" t="s">
        <v>1834</v>
      </c>
      <c r="Z534" s="4">
        <v>329</v>
      </c>
      <c r="AA534" s="4">
        <f>=ROUNDDOWN(9.13888888888889,0)</f>
      </c>
      <c r="AB534" s="5">
        <v>36</v>
      </c>
      <c r="AC534" s="2" t="s">
        <v>250</v>
      </c>
      <c r="AD534" s="4">
        <v>272</v>
      </c>
      <c r="AE534" s="4">
        <v>1236</v>
      </c>
      <c r="AF534" s="6">
        <v>66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3</v>
      </c>
      <c r="AQ534" s="8">
        <v>41.4</v>
      </c>
      <c r="AR534" s="4">
        <v>215</v>
      </c>
      <c r="AS534" s="8">
        <v>2399.4</v>
      </c>
      <c r="AT534" s="7">
        <v>-0.986</v>
      </c>
      <c r="AU534" s="7">
        <v>-0.9827</v>
      </c>
      <c r="AV534" s="4" t="s">
        <v>98</v>
      </c>
      <c r="AW534" s="8" t="s">
        <v>98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 t="s">
        <v>98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 t="s">
        <v>98</v>
      </c>
      <c r="BJ534" s="4">
        <v>331</v>
      </c>
      <c r="BK534" s="8">
        <v>4537.99</v>
      </c>
      <c r="BL534" s="2" t="s">
        <v>1559</v>
      </c>
      <c r="BM534" s="7">
        <v>0.0091</v>
      </c>
      <c r="BN534" s="7">
        <v>0.0091</v>
      </c>
      <c r="BO534" s="4">
        <v>3</v>
      </c>
      <c r="BP534" s="8">
        <v>41.4</v>
      </c>
      <c r="BQ534" s="4">
        <v>215</v>
      </c>
      <c r="BR534" s="8">
        <v>2399.4</v>
      </c>
      <c r="BS534" s="7">
        <v>-0.986</v>
      </c>
      <c r="BT534" s="7">
        <v>-0.9827</v>
      </c>
      <c r="BU534" s="2" t="s">
        <v>107</v>
      </c>
      <c r="BV534" s="2" t="s">
        <v>108</v>
      </c>
      <c r="BW534" s="2" t="s">
        <v>659</v>
      </c>
      <c r="BX534" s="2" t="s">
        <v>1844</v>
      </c>
      <c r="BY534" s="2" t="s">
        <v>111</v>
      </c>
    </row>
    <row r="535">
      <c r="A535" s="2" t="s">
        <v>1845</v>
      </c>
      <c r="B535" s="2" t="s">
        <v>86</v>
      </c>
      <c r="C535" s="2" t="s">
        <v>87</v>
      </c>
      <c r="D535" s="2" t="s">
        <v>1786</v>
      </c>
      <c r="E535" s="2" t="s">
        <v>1786</v>
      </c>
      <c r="F535" s="2" t="s">
        <v>89</v>
      </c>
      <c r="G535" s="2" t="s">
        <v>90</v>
      </c>
      <c r="H535" s="2" t="s">
        <v>91</v>
      </c>
      <c r="I535" s="2" t="s">
        <v>1846</v>
      </c>
      <c r="J535" s="2" t="s">
        <v>1847</v>
      </c>
      <c r="K535" s="2" t="s">
        <v>230</v>
      </c>
      <c r="L535" s="3">
        <v>12.6</v>
      </c>
      <c r="M535" s="3">
        <v>13.23</v>
      </c>
      <c r="N535" s="3">
        <v>29.99</v>
      </c>
      <c r="O535" s="2" t="s">
        <v>241</v>
      </c>
      <c r="P535" s="2" t="s">
        <v>215</v>
      </c>
      <c r="Q535" s="2" t="s">
        <v>97</v>
      </c>
      <c r="R535" s="2" t="s">
        <v>98</v>
      </c>
      <c r="S535" s="2" t="s">
        <v>231</v>
      </c>
      <c r="T535" s="2" t="s">
        <v>98</v>
      </c>
      <c r="U535" s="2" t="s">
        <v>98</v>
      </c>
      <c r="V535" s="2" t="s">
        <v>101</v>
      </c>
      <c r="W535" s="2" t="s">
        <v>102</v>
      </c>
      <c r="X535" s="2" t="s">
        <v>98</v>
      </c>
      <c r="Y535" s="2" t="s">
        <v>1848</v>
      </c>
      <c r="Z535" s="4">
        <v>3</v>
      </c>
      <c r="AA535" s="4">
        <f>=ROUNDDOWN(0.75,0)</f>
      </c>
      <c r="AB535" s="5">
        <v>4</v>
      </c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32</v>
      </c>
      <c r="AQ535" s="8">
        <v>441.6</v>
      </c>
      <c r="AR535" s="4">
        <v>76</v>
      </c>
      <c r="AS535" s="8">
        <v>848.16</v>
      </c>
      <c r="AT535" s="7">
        <v>-0.5789</v>
      </c>
      <c r="AU535" s="7">
        <v>-0.4793</v>
      </c>
      <c r="AV535" s="4">
        <v>32</v>
      </c>
      <c r="AW535" s="8">
        <v>441.6</v>
      </c>
      <c r="AX535" s="4">
        <v>76</v>
      </c>
      <c r="AY535" s="8">
        <v>848.16</v>
      </c>
      <c r="AZ535" s="7">
        <v>-0.5789</v>
      </c>
      <c r="BA535" s="7">
        <v>-0.4793</v>
      </c>
      <c r="BB535" s="7">
        <v>1</v>
      </c>
      <c r="BC535" s="4">
        <v>157</v>
      </c>
      <c r="BD535" s="8">
        <v>2166.6</v>
      </c>
      <c r="BE535" s="4">
        <v>567</v>
      </c>
      <c r="BF535" s="8">
        <v>6327.72</v>
      </c>
      <c r="BG535" s="7">
        <v>-0.7231</v>
      </c>
      <c r="BH535" s="7">
        <v>-0.6576</v>
      </c>
      <c r="BI535" s="7">
        <v>0.2038</v>
      </c>
      <c r="BJ535" s="4">
        <v>132</v>
      </c>
      <c r="BK535" s="8">
        <v>1768.05</v>
      </c>
      <c r="BL535" s="2" t="s">
        <v>664</v>
      </c>
      <c r="BM535" s="7">
        <v>0.2424</v>
      </c>
      <c r="BN535" s="7">
        <v>0.2498</v>
      </c>
      <c r="BO535" s="4">
        <v>32</v>
      </c>
      <c r="BP535" s="8">
        <v>441.6</v>
      </c>
      <c r="BQ535" s="4">
        <v>76</v>
      </c>
      <c r="BR535" s="8">
        <v>848.16</v>
      </c>
      <c r="BS535" s="7">
        <v>-0.5789</v>
      </c>
      <c r="BT535" s="7">
        <v>-0.4793</v>
      </c>
      <c r="BU535" s="2" t="s">
        <v>107</v>
      </c>
      <c r="BV535" s="2" t="s">
        <v>352</v>
      </c>
      <c r="BW535" s="2" t="s">
        <v>244</v>
      </c>
      <c r="BX535" s="2" t="s">
        <v>381</v>
      </c>
      <c r="BY535" s="2" t="s">
        <v>111</v>
      </c>
    </row>
    <row r="536">
      <c r="A536" s="2" t="s">
        <v>1849</v>
      </c>
      <c r="B536" s="2" t="s">
        <v>86</v>
      </c>
      <c r="C536" s="2" t="s">
        <v>87</v>
      </c>
      <c r="D536" s="2" t="s">
        <v>1786</v>
      </c>
      <c r="E536" s="2" t="s">
        <v>1786</v>
      </c>
      <c r="F536" s="2" t="s">
        <v>89</v>
      </c>
      <c r="G536" s="2" t="s">
        <v>90</v>
      </c>
      <c r="H536" s="2" t="s">
        <v>91</v>
      </c>
      <c r="I536" s="2" t="s">
        <v>1846</v>
      </c>
      <c r="J536" s="2" t="s">
        <v>1847</v>
      </c>
      <c r="K536" s="2" t="s">
        <v>137</v>
      </c>
      <c r="L536" s="3">
        <v>12.6</v>
      </c>
      <c r="M536" s="3">
        <v>13.23</v>
      </c>
      <c r="N536" s="3">
        <v>29.99</v>
      </c>
      <c r="O536" s="2" t="s">
        <v>95</v>
      </c>
      <c r="P536" s="2" t="s">
        <v>123</v>
      </c>
      <c r="Q536" s="2" t="s">
        <v>97</v>
      </c>
      <c r="R536" s="2" t="s">
        <v>98</v>
      </c>
      <c r="S536" s="2" t="s">
        <v>138</v>
      </c>
      <c r="T536" s="2" t="s">
        <v>98</v>
      </c>
      <c r="U536" s="2" t="s">
        <v>98</v>
      </c>
      <c r="V536" s="2" t="s">
        <v>101</v>
      </c>
      <c r="W536" s="2" t="s">
        <v>102</v>
      </c>
      <c r="X536" s="2" t="s">
        <v>98</v>
      </c>
      <c r="Y536" s="2" t="s">
        <v>1848</v>
      </c>
      <c r="Z536" s="4">
        <v>285</v>
      </c>
      <c r="AA536" s="4">
        <f>=ROUNDDOWN(12.3913043478261,0)</f>
      </c>
      <c r="AB536" s="5">
        <v>23</v>
      </c>
      <c r="AC536" s="2" t="s">
        <v>105</v>
      </c>
      <c r="AD536" s="4">
        <v>248</v>
      </c>
      <c r="AE536" s="4">
        <v>440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27</v>
      </c>
      <c r="AQ536" s="8">
        <v>372.6</v>
      </c>
      <c r="AR536" s="4">
        <v>110</v>
      </c>
      <c r="AS536" s="8">
        <v>1227.6</v>
      </c>
      <c r="AT536" s="7">
        <v>-0.7545</v>
      </c>
      <c r="AU536" s="7">
        <v>-0.6965</v>
      </c>
      <c r="AV536" s="4">
        <v>27</v>
      </c>
      <c r="AW536" s="8">
        <v>372.6</v>
      </c>
      <c r="AX536" s="4">
        <v>110</v>
      </c>
      <c r="AY536" s="8">
        <v>1227.6</v>
      </c>
      <c r="AZ536" s="7">
        <v>-0.7545</v>
      </c>
      <c r="BA536" s="7">
        <v>-0.6965</v>
      </c>
      <c r="BB536" s="7">
        <v>1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>
        <v>0.172</v>
      </c>
      <c r="BJ536" s="4">
        <v>328</v>
      </c>
      <c r="BK536" s="8">
        <v>4424.27</v>
      </c>
      <c r="BL536" s="2" t="s">
        <v>1850</v>
      </c>
      <c r="BM536" s="7">
        <v>0.0823</v>
      </c>
      <c r="BN536" s="7">
        <v>0.0842</v>
      </c>
      <c r="BO536" s="4">
        <v>27</v>
      </c>
      <c r="BP536" s="8">
        <v>372.6</v>
      </c>
      <c r="BQ536" s="4">
        <v>110</v>
      </c>
      <c r="BR536" s="8">
        <v>1227.6</v>
      </c>
      <c r="BS536" s="7">
        <v>-0.7545</v>
      </c>
      <c r="BT536" s="7">
        <v>-0.6965</v>
      </c>
      <c r="BU536" s="2" t="s">
        <v>107</v>
      </c>
      <c r="BV536" s="2" t="s">
        <v>108</v>
      </c>
      <c r="BW536" s="2" t="s">
        <v>244</v>
      </c>
      <c r="BX536" s="2" t="s">
        <v>345</v>
      </c>
      <c r="BY536" s="2" t="s">
        <v>111</v>
      </c>
    </row>
    <row r="537">
      <c r="A537" s="2" t="s">
        <v>1851</v>
      </c>
      <c r="B537" s="2" t="s">
        <v>86</v>
      </c>
      <c r="C537" s="2" t="s">
        <v>87</v>
      </c>
      <c r="D537" s="2" t="s">
        <v>1786</v>
      </c>
      <c r="E537" s="2" t="s">
        <v>1786</v>
      </c>
      <c r="F537" s="2" t="s">
        <v>89</v>
      </c>
      <c r="G537" s="2" t="s">
        <v>90</v>
      </c>
      <c r="H537" s="2" t="s">
        <v>91</v>
      </c>
      <c r="I537" s="2" t="s">
        <v>1846</v>
      </c>
      <c r="J537" s="2" t="s">
        <v>1847</v>
      </c>
      <c r="K537" s="2" t="s">
        <v>247</v>
      </c>
      <c r="L537" s="3">
        <v>12.6</v>
      </c>
      <c r="M537" s="3">
        <v>13.23</v>
      </c>
      <c r="N537" s="3">
        <v>29.99</v>
      </c>
      <c r="O537" s="2" t="s">
        <v>95</v>
      </c>
      <c r="P537" s="2" t="s">
        <v>150</v>
      </c>
      <c r="Q537" s="2" t="s">
        <v>97</v>
      </c>
      <c r="R537" s="2" t="s">
        <v>98</v>
      </c>
      <c r="S537" s="2" t="s">
        <v>248</v>
      </c>
      <c r="T537" s="2" t="s">
        <v>98</v>
      </c>
      <c r="U537" s="2" t="s">
        <v>100</v>
      </c>
      <c r="V537" s="2" t="s">
        <v>101</v>
      </c>
      <c r="W537" s="2" t="s">
        <v>102</v>
      </c>
      <c r="X537" s="2" t="s">
        <v>98</v>
      </c>
      <c r="Y537" s="2" t="s">
        <v>249</v>
      </c>
      <c r="Z537" s="4">
        <v>191</v>
      </c>
      <c r="AA537" s="4">
        <f>=ROUNDDOWN(10.6111111111111,0)</f>
      </c>
      <c r="AB537" s="5">
        <v>18</v>
      </c>
      <c r="AC537" s="2" t="s">
        <v>253</v>
      </c>
      <c r="AD537" s="4">
        <v>176</v>
      </c>
      <c r="AE537" s="4">
        <v>480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25</v>
      </c>
      <c r="AQ537" s="8">
        <v>345</v>
      </c>
      <c r="AR537" s="4"/>
      <c r="AS537" s="8"/>
      <c r="AT537" s="7"/>
      <c r="AU537" s="7"/>
      <c r="AV537" s="4">
        <v>25</v>
      </c>
      <c r="AW537" s="8">
        <v>345</v>
      </c>
      <c r="AX537" s="4"/>
      <c r="AY537" s="8"/>
      <c r="AZ537" s="7"/>
      <c r="BA537" s="7"/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0.1592</v>
      </c>
      <c r="BJ537" s="4">
        <v>199</v>
      </c>
      <c r="BK537" s="8">
        <v>2706.46</v>
      </c>
      <c r="BL537" s="2" t="s">
        <v>664</v>
      </c>
      <c r="BM537" s="7">
        <v>0.1256</v>
      </c>
      <c r="BN537" s="7">
        <v>0.1275</v>
      </c>
      <c r="BO537" s="4">
        <v>25</v>
      </c>
      <c r="BP537" s="8">
        <v>345</v>
      </c>
      <c r="BQ537" s="4"/>
      <c r="BR537" s="8"/>
      <c r="BS537" s="7"/>
      <c r="BT537" s="7"/>
      <c r="BU537" s="2" t="s">
        <v>107</v>
      </c>
      <c r="BV537" s="2" t="s">
        <v>108</v>
      </c>
      <c r="BW537" s="2" t="s">
        <v>134</v>
      </c>
      <c r="BX537" s="2" t="s">
        <v>197</v>
      </c>
      <c r="BY537" s="2" t="s">
        <v>111</v>
      </c>
    </row>
    <row r="538">
      <c r="A538" s="2" t="s">
        <v>1852</v>
      </c>
      <c r="B538" s="2" t="s">
        <v>86</v>
      </c>
      <c r="C538" s="2" t="s">
        <v>87</v>
      </c>
      <c r="D538" s="2" t="s">
        <v>1786</v>
      </c>
      <c r="E538" s="2" t="s">
        <v>1786</v>
      </c>
      <c r="F538" s="2" t="s">
        <v>89</v>
      </c>
      <c r="G538" s="2" t="s">
        <v>90</v>
      </c>
      <c r="H538" s="2" t="s">
        <v>91</v>
      </c>
      <c r="I538" s="2" t="s">
        <v>1846</v>
      </c>
      <c r="J538" s="2" t="s">
        <v>1847</v>
      </c>
      <c r="K538" s="2" t="s">
        <v>94</v>
      </c>
      <c r="L538" s="3">
        <v>12.6</v>
      </c>
      <c r="M538" s="3">
        <v>13.23</v>
      </c>
      <c r="N538" s="3">
        <v>29.99</v>
      </c>
      <c r="O538" s="2" t="s">
        <v>95</v>
      </c>
      <c r="P538" s="2" t="s">
        <v>123</v>
      </c>
      <c r="Q538" s="2" t="s">
        <v>97</v>
      </c>
      <c r="R538" s="2" t="s">
        <v>98</v>
      </c>
      <c r="S538" s="2" t="s">
        <v>99</v>
      </c>
      <c r="T538" s="2" t="s">
        <v>98</v>
      </c>
      <c r="U538" s="2" t="s">
        <v>98</v>
      </c>
      <c r="V538" s="2" t="s">
        <v>101</v>
      </c>
      <c r="W538" s="2" t="s">
        <v>102</v>
      </c>
      <c r="X538" s="2" t="s">
        <v>98</v>
      </c>
      <c r="Y538" s="2" t="s">
        <v>1848</v>
      </c>
      <c r="Z538" s="4">
        <v>929</v>
      </c>
      <c r="AA538" s="4">
        <f>=ROUNDDOWN(28.1515151515152,0)</f>
      </c>
      <c r="AB538" s="5">
        <v>33</v>
      </c>
      <c r="AC538" s="2" t="s">
        <v>114</v>
      </c>
      <c r="AD538" s="4">
        <v>64</v>
      </c>
      <c r="AE538" s="4">
        <v>144</v>
      </c>
      <c r="AF538" s="6">
        <v>65</v>
      </c>
      <c r="AG538" s="6"/>
      <c r="AH538" s="7">
        <v>1</v>
      </c>
      <c r="AI538" s="4">
        <v>2</v>
      </c>
      <c r="AJ538" s="4">
        <f>=ROUNDDOWN({0},0)</f>
      </c>
      <c r="AK538" s="5"/>
      <c r="AL538" s="2" t="s">
        <v>98</v>
      </c>
      <c r="AM538" s="4"/>
      <c r="AN538" s="4"/>
      <c r="AO538" s="7">
        <v>0.8556</v>
      </c>
      <c r="AP538" s="4">
        <v>21</v>
      </c>
      <c r="AQ538" s="8">
        <v>289.8</v>
      </c>
      <c r="AR538" s="4">
        <v>109</v>
      </c>
      <c r="AS538" s="8">
        <v>1216.44</v>
      </c>
      <c r="AT538" s="7">
        <v>-0.8073</v>
      </c>
      <c r="AU538" s="7">
        <v>-0.7618</v>
      </c>
      <c r="AV538" s="4">
        <v>21</v>
      </c>
      <c r="AW538" s="8">
        <v>289.8</v>
      </c>
      <c r="AX538" s="4">
        <v>109</v>
      </c>
      <c r="AY538" s="8">
        <v>1216.44</v>
      </c>
      <c r="AZ538" s="7">
        <v>-0.8073</v>
      </c>
      <c r="BA538" s="7">
        <v>-0.7618</v>
      </c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0.1338</v>
      </c>
      <c r="BJ538" s="4">
        <v>395</v>
      </c>
      <c r="BK538" s="8">
        <v>5230.12</v>
      </c>
      <c r="BL538" s="2" t="s">
        <v>1853</v>
      </c>
      <c r="BM538" s="7">
        <v>0.0532</v>
      </c>
      <c r="BN538" s="7">
        <v>0.0554</v>
      </c>
      <c r="BO538" s="4">
        <v>21</v>
      </c>
      <c r="BP538" s="8">
        <v>289.8</v>
      </c>
      <c r="BQ538" s="4">
        <v>109</v>
      </c>
      <c r="BR538" s="8">
        <v>1216.44</v>
      </c>
      <c r="BS538" s="7">
        <v>-0.8073</v>
      </c>
      <c r="BT538" s="7">
        <v>-0.7618</v>
      </c>
      <c r="BU538" s="2" t="s">
        <v>107</v>
      </c>
      <c r="BV538" s="2" t="s">
        <v>108</v>
      </c>
      <c r="BW538" s="2" t="s">
        <v>244</v>
      </c>
      <c r="BX538" s="2" t="s">
        <v>443</v>
      </c>
      <c r="BY538" s="2" t="s">
        <v>111</v>
      </c>
    </row>
    <row r="539">
      <c r="A539" s="2" t="s">
        <v>1854</v>
      </c>
      <c r="B539" s="2" t="s">
        <v>86</v>
      </c>
      <c r="C539" s="2" t="s">
        <v>87</v>
      </c>
      <c r="D539" s="2" t="s">
        <v>1786</v>
      </c>
      <c r="E539" s="2" t="s">
        <v>1786</v>
      </c>
      <c r="F539" s="2" t="s">
        <v>89</v>
      </c>
      <c r="G539" s="2" t="s">
        <v>90</v>
      </c>
      <c r="H539" s="2" t="s">
        <v>91</v>
      </c>
      <c r="I539" s="2" t="s">
        <v>1846</v>
      </c>
      <c r="J539" s="2" t="s">
        <v>1847</v>
      </c>
      <c r="K539" s="2" t="s">
        <v>261</v>
      </c>
      <c r="L539" s="3">
        <v>12.6</v>
      </c>
      <c r="M539" s="3">
        <v>13.23</v>
      </c>
      <c r="N539" s="3">
        <v>29.99</v>
      </c>
      <c r="O539" s="2" t="s">
        <v>95</v>
      </c>
      <c r="P539" s="2" t="s">
        <v>150</v>
      </c>
      <c r="Q539" s="2" t="s">
        <v>97</v>
      </c>
      <c r="R539" s="2" t="s">
        <v>98</v>
      </c>
      <c r="S539" s="2" t="s">
        <v>262</v>
      </c>
      <c r="T539" s="2" t="s">
        <v>98</v>
      </c>
      <c r="U539" s="2" t="s">
        <v>98</v>
      </c>
      <c r="V539" s="2" t="s">
        <v>101</v>
      </c>
      <c r="W539" s="2" t="s">
        <v>102</v>
      </c>
      <c r="X539" s="2" t="s">
        <v>98</v>
      </c>
      <c r="Y539" s="2" t="s">
        <v>1848</v>
      </c>
      <c r="Z539" s="4">
        <v>166</v>
      </c>
      <c r="AA539" s="4">
        <f>=ROUNDDOWN(20.75,0)</f>
      </c>
      <c r="AB539" s="5">
        <v>8</v>
      </c>
      <c r="AC539" s="2" t="s">
        <v>272</v>
      </c>
      <c r="AD539" s="4">
        <v>176</v>
      </c>
      <c r="AE539" s="4">
        <v>176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16</v>
      </c>
      <c r="AQ539" s="8">
        <v>220.8</v>
      </c>
      <c r="AR539" s="4">
        <v>25</v>
      </c>
      <c r="AS539" s="8">
        <v>279</v>
      </c>
      <c r="AT539" s="7">
        <v>-0.36</v>
      </c>
      <c r="AU539" s="7">
        <v>-0.2086</v>
      </c>
      <c r="AV539" s="4">
        <v>16</v>
      </c>
      <c r="AW539" s="8">
        <v>220.8</v>
      </c>
      <c r="AX539" s="4">
        <v>25</v>
      </c>
      <c r="AY539" s="8">
        <v>279</v>
      </c>
      <c r="AZ539" s="7">
        <v>-0.36</v>
      </c>
      <c r="BA539" s="7">
        <v>-0.2086</v>
      </c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0.1019</v>
      </c>
      <c r="BJ539" s="4">
        <v>91</v>
      </c>
      <c r="BK539" s="8">
        <v>1195.83</v>
      </c>
      <c r="BL539" s="2" t="s">
        <v>1451</v>
      </c>
      <c r="BM539" s="7">
        <v>0.1758</v>
      </c>
      <c r="BN539" s="7">
        <v>0.1846</v>
      </c>
      <c r="BO539" s="4">
        <v>16</v>
      </c>
      <c r="BP539" s="8">
        <v>220.8</v>
      </c>
      <c r="BQ539" s="4">
        <v>25</v>
      </c>
      <c r="BR539" s="8">
        <v>279</v>
      </c>
      <c r="BS539" s="7">
        <v>-0.36</v>
      </c>
      <c r="BT539" s="7">
        <v>-0.2086</v>
      </c>
      <c r="BU539" s="2" t="s">
        <v>107</v>
      </c>
      <c r="BV539" s="2" t="s">
        <v>108</v>
      </c>
      <c r="BW539" s="2" t="s">
        <v>244</v>
      </c>
      <c r="BX539" s="2" t="s">
        <v>340</v>
      </c>
      <c r="BY539" s="2" t="s">
        <v>111</v>
      </c>
    </row>
    <row r="540">
      <c r="A540" s="2" t="s">
        <v>1855</v>
      </c>
      <c r="B540" s="2" t="s">
        <v>86</v>
      </c>
      <c r="C540" s="2" t="s">
        <v>87</v>
      </c>
      <c r="D540" s="2" t="s">
        <v>1786</v>
      </c>
      <c r="E540" s="2" t="s">
        <v>1786</v>
      </c>
      <c r="F540" s="2" t="s">
        <v>89</v>
      </c>
      <c r="G540" s="2" t="s">
        <v>90</v>
      </c>
      <c r="H540" s="2" t="s">
        <v>91</v>
      </c>
      <c r="I540" s="2" t="s">
        <v>1846</v>
      </c>
      <c r="J540" s="2" t="s">
        <v>1847</v>
      </c>
      <c r="K540" s="2" t="s">
        <v>290</v>
      </c>
      <c r="L540" s="3">
        <v>12.6</v>
      </c>
      <c r="M540" s="3">
        <v>13.23</v>
      </c>
      <c r="N540" s="3">
        <v>29.99</v>
      </c>
      <c r="O540" s="2" t="s">
        <v>95</v>
      </c>
      <c r="P540" s="2" t="s">
        <v>150</v>
      </c>
      <c r="Q540" s="2" t="s">
        <v>97</v>
      </c>
      <c r="R540" s="2" t="s">
        <v>98</v>
      </c>
      <c r="S540" s="2" t="s">
        <v>291</v>
      </c>
      <c r="T540" s="2" t="s">
        <v>98</v>
      </c>
      <c r="U540" s="2" t="s">
        <v>100</v>
      </c>
      <c r="V540" s="2" t="s">
        <v>101</v>
      </c>
      <c r="W540" s="2" t="s">
        <v>102</v>
      </c>
      <c r="X540" s="2" t="s">
        <v>98</v>
      </c>
      <c r="Y540" s="2" t="s">
        <v>201</v>
      </c>
      <c r="Z540" s="4">
        <v>191</v>
      </c>
      <c r="AA540" s="4">
        <f>=ROUNDDOWN(27.2857142857143,0)</f>
      </c>
      <c r="AB540" s="5">
        <v>7</v>
      </c>
      <c r="AC540" s="2" t="s">
        <v>1856</v>
      </c>
      <c r="AD540" s="4">
        <v>104</v>
      </c>
      <c r="AE540" s="4">
        <v>104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10</v>
      </c>
      <c r="AQ540" s="8">
        <v>138</v>
      </c>
      <c r="AR540" s="4"/>
      <c r="AS540" s="8"/>
      <c r="AT540" s="7"/>
      <c r="AU540" s="7"/>
      <c r="AV540" s="4">
        <v>10</v>
      </c>
      <c r="AW540" s="8">
        <v>138</v>
      </c>
      <c r="AX540" s="4"/>
      <c r="AY540" s="8"/>
      <c r="AZ540" s="7"/>
      <c r="BA540" s="7"/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0.0637</v>
      </c>
      <c r="BJ540" s="4">
        <v>49</v>
      </c>
      <c r="BK540" s="8">
        <v>680.76</v>
      </c>
      <c r="BL540" s="2" t="s">
        <v>1451</v>
      </c>
      <c r="BM540" s="7">
        <v>0.2041</v>
      </c>
      <c r="BN540" s="7">
        <v>0.2027</v>
      </c>
      <c r="BO540" s="4">
        <v>10</v>
      </c>
      <c r="BP540" s="8">
        <v>138</v>
      </c>
      <c r="BQ540" s="4"/>
      <c r="BR540" s="8"/>
      <c r="BS540" s="7"/>
      <c r="BT540" s="7"/>
      <c r="BU540" s="2" t="s">
        <v>107</v>
      </c>
      <c r="BV540" s="2" t="s">
        <v>108</v>
      </c>
      <c r="BW540" s="2" t="s">
        <v>134</v>
      </c>
      <c r="BX540" s="2" t="s">
        <v>923</v>
      </c>
      <c r="BY540" s="2" t="s">
        <v>111</v>
      </c>
    </row>
    <row r="541">
      <c r="A541" s="2" t="s">
        <v>1857</v>
      </c>
      <c r="B541" s="2" t="s">
        <v>86</v>
      </c>
      <c r="C541" s="2" t="s">
        <v>87</v>
      </c>
      <c r="D541" s="2" t="s">
        <v>1786</v>
      </c>
      <c r="E541" s="2" t="s">
        <v>1786</v>
      </c>
      <c r="F541" s="2" t="s">
        <v>89</v>
      </c>
      <c r="G541" s="2" t="s">
        <v>90</v>
      </c>
      <c r="H541" s="2" t="s">
        <v>91</v>
      </c>
      <c r="I541" s="2" t="s">
        <v>1846</v>
      </c>
      <c r="J541" s="2" t="s">
        <v>1847</v>
      </c>
      <c r="K541" s="2" t="s">
        <v>156</v>
      </c>
      <c r="L541" s="3">
        <v>12.6</v>
      </c>
      <c r="M541" s="3">
        <v>13.23</v>
      </c>
      <c r="N541" s="3">
        <v>29.99</v>
      </c>
      <c r="O541" s="2" t="s">
        <v>95</v>
      </c>
      <c r="P541" s="2" t="s">
        <v>150</v>
      </c>
      <c r="Q541" s="2" t="s">
        <v>97</v>
      </c>
      <c r="R541" s="2" t="s">
        <v>98</v>
      </c>
      <c r="S541" s="2" t="s">
        <v>157</v>
      </c>
      <c r="T541" s="2" t="s">
        <v>98</v>
      </c>
      <c r="U541" s="2" t="s">
        <v>98</v>
      </c>
      <c r="V541" s="2" t="s">
        <v>101</v>
      </c>
      <c r="W541" s="2" t="s">
        <v>102</v>
      </c>
      <c r="X541" s="2" t="s">
        <v>98</v>
      </c>
      <c r="Y541" s="2" t="s">
        <v>1848</v>
      </c>
      <c r="Z541" s="4">
        <v>362</v>
      </c>
      <c r="AA541" s="4">
        <f>=ROUNDDOWN(45.25,0)</f>
      </c>
      <c r="AB541" s="5">
        <v>8</v>
      </c>
      <c r="AC541" s="2" t="s">
        <v>158</v>
      </c>
      <c r="AD541" s="4">
        <v>72</v>
      </c>
      <c r="AE541" s="4">
        <v>72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10</v>
      </c>
      <c r="AQ541" s="8">
        <v>138</v>
      </c>
      <c r="AR541" s="4">
        <v>125</v>
      </c>
      <c r="AS541" s="8">
        <v>1395</v>
      </c>
      <c r="AT541" s="7">
        <v>-0.92</v>
      </c>
      <c r="AU541" s="7">
        <v>-0.9011</v>
      </c>
      <c r="AV541" s="4">
        <v>10</v>
      </c>
      <c r="AW541" s="8">
        <v>138</v>
      </c>
      <c r="AX541" s="4">
        <v>125</v>
      </c>
      <c r="AY541" s="8">
        <v>1395</v>
      </c>
      <c r="AZ541" s="7">
        <v>-0.92</v>
      </c>
      <c r="BA541" s="7">
        <v>-0.9011</v>
      </c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0.0637</v>
      </c>
      <c r="BJ541" s="4">
        <v>192</v>
      </c>
      <c r="BK541" s="8">
        <v>2566.44</v>
      </c>
      <c r="BL541" s="2" t="s">
        <v>904</v>
      </c>
      <c r="BM541" s="7">
        <v>0.0521</v>
      </c>
      <c r="BN541" s="7">
        <v>0.0538</v>
      </c>
      <c r="BO541" s="4">
        <v>10</v>
      </c>
      <c r="BP541" s="8">
        <v>138</v>
      </c>
      <c r="BQ541" s="4">
        <v>125</v>
      </c>
      <c r="BR541" s="8">
        <v>1395</v>
      </c>
      <c r="BS541" s="7">
        <v>-0.92</v>
      </c>
      <c r="BT541" s="7">
        <v>-0.9011</v>
      </c>
      <c r="BU541" s="2" t="s">
        <v>107</v>
      </c>
      <c r="BV541" s="2" t="s">
        <v>108</v>
      </c>
      <c r="BW541" s="2" t="s">
        <v>244</v>
      </c>
      <c r="BX541" s="2" t="s">
        <v>337</v>
      </c>
      <c r="BY541" s="2" t="s">
        <v>111</v>
      </c>
    </row>
    <row r="542">
      <c r="A542" s="2" t="s">
        <v>1858</v>
      </c>
      <c r="B542" s="2" t="s">
        <v>86</v>
      </c>
      <c r="C542" s="2" t="s">
        <v>87</v>
      </c>
      <c r="D542" s="2" t="s">
        <v>1786</v>
      </c>
      <c r="E542" s="2" t="s">
        <v>1786</v>
      </c>
      <c r="F542" s="2" t="s">
        <v>89</v>
      </c>
      <c r="G542" s="2" t="s">
        <v>90</v>
      </c>
      <c r="H542" s="2" t="s">
        <v>91</v>
      </c>
      <c r="I542" s="2" t="s">
        <v>1846</v>
      </c>
      <c r="J542" s="2" t="s">
        <v>1847</v>
      </c>
      <c r="K542" s="2" t="s">
        <v>177</v>
      </c>
      <c r="L542" s="3">
        <v>12.6</v>
      </c>
      <c r="M542" s="3">
        <v>13.23</v>
      </c>
      <c r="N542" s="3">
        <v>29.99</v>
      </c>
      <c r="O542" s="2" t="s">
        <v>95</v>
      </c>
      <c r="P542" s="2" t="s">
        <v>150</v>
      </c>
      <c r="Q542" s="2" t="s">
        <v>97</v>
      </c>
      <c r="R542" s="2" t="s">
        <v>98</v>
      </c>
      <c r="S542" s="2" t="s">
        <v>178</v>
      </c>
      <c r="T542" s="2" t="s">
        <v>98</v>
      </c>
      <c r="U542" s="2" t="s">
        <v>98</v>
      </c>
      <c r="V542" s="2" t="s">
        <v>101</v>
      </c>
      <c r="W542" s="2" t="s">
        <v>102</v>
      </c>
      <c r="X542" s="2" t="s">
        <v>98</v>
      </c>
      <c r="Y542" s="2" t="s">
        <v>1848</v>
      </c>
      <c r="Z542" s="4">
        <v>294</v>
      </c>
      <c r="AA542" s="4">
        <f>=ROUNDDOWN(10.8888888888889,0)</f>
      </c>
      <c r="AB542" s="5">
        <v>27</v>
      </c>
      <c r="AC542" s="2" t="s">
        <v>158</v>
      </c>
      <c r="AD542" s="4">
        <v>176</v>
      </c>
      <c r="AE542" s="4">
        <v>576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7</v>
      </c>
      <c r="AQ542" s="8">
        <v>96.6</v>
      </c>
      <c r="AR542" s="4">
        <v>78</v>
      </c>
      <c r="AS542" s="8">
        <v>870.48</v>
      </c>
      <c r="AT542" s="7">
        <v>-0.9103</v>
      </c>
      <c r="AU542" s="7">
        <v>-0.889</v>
      </c>
      <c r="AV542" s="4">
        <v>7</v>
      </c>
      <c r="AW542" s="8">
        <v>96.6</v>
      </c>
      <c r="AX542" s="4">
        <v>78</v>
      </c>
      <c r="AY542" s="8">
        <v>870.48</v>
      </c>
      <c r="AZ542" s="7">
        <v>-0.9103</v>
      </c>
      <c r="BA542" s="7">
        <v>-0.889</v>
      </c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0.0446</v>
      </c>
      <c r="BJ542" s="4">
        <v>221</v>
      </c>
      <c r="BK542" s="8">
        <v>3038.67</v>
      </c>
      <c r="BL542" s="2" t="s">
        <v>1859</v>
      </c>
      <c r="BM542" s="7">
        <v>0.0317</v>
      </c>
      <c r="BN542" s="7">
        <v>0.0318</v>
      </c>
      <c r="BO542" s="4">
        <v>7</v>
      </c>
      <c r="BP542" s="8">
        <v>96.6</v>
      </c>
      <c r="BQ542" s="4">
        <v>78</v>
      </c>
      <c r="BR542" s="8">
        <v>870.48</v>
      </c>
      <c r="BS542" s="7">
        <v>-0.9103</v>
      </c>
      <c r="BT542" s="7">
        <v>-0.889</v>
      </c>
      <c r="BU542" s="2" t="s">
        <v>107</v>
      </c>
      <c r="BV542" s="2" t="s">
        <v>108</v>
      </c>
      <c r="BW542" s="2" t="s">
        <v>244</v>
      </c>
      <c r="BX542" s="2" t="s">
        <v>360</v>
      </c>
      <c r="BY542" s="2" t="s">
        <v>111</v>
      </c>
    </row>
    <row r="543">
      <c r="A543" s="2" t="s">
        <v>1860</v>
      </c>
      <c r="B543" s="2" t="s">
        <v>86</v>
      </c>
      <c r="C543" s="2" t="s">
        <v>87</v>
      </c>
      <c r="D543" s="2" t="s">
        <v>1786</v>
      </c>
      <c r="E543" s="2" t="s">
        <v>1786</v>
      </c>
      <c r="F543" s="2" t="s">
        <v>89</v>
      </c>
      <c r="G543" s="2" t="s">
        <v>90</v>
      </c>
      <c r="H543" s="2" t="s">
        <v>91</v>
      </c>
      <c r="I543" s="2" t="s">
        <v>1846</v>
      </c>
      <c r="J543" s="2" t="s">
        <v>1847</v>
      </c>
      <c r="K543" s="2" t="s">
        <v>299</v>
      </c>
      <c r="L543" s="3">
        <v>12.6</v>
      </c>
      <c r="M543" s="3">
        <v>13.23</v>
      </c>
      <c r="N543" s="3">
        <v>29.99</v>
      </c>
      <c r="O543" s="2" t="s">
        <v>95</v>
      </c>
      <c r="P543" s="2" t="s">
        <v>150</v>
      </c>
      <c r="Q543" s="2" t="s">
        <v>97</v>
      </c>
      <c r="R543" s="2" t="s">
        <v>98</v>
      </c>
      <c r="S543" s="2" t="s">
        <v>300</v>
      </c>
      <c r="T543" s="2" t="s">
        <v>98</v>
      </c>
      <c r="U543" s="2" t="s">
        <v>100</v>
      </c>
      <c r="V543" s="2" t="s">
        <v>101</v>
      </c>
      <c r="W543" s="2" t="s">
        <v>102</v>
      </c>
      <c r="X543" s="2" t="s">
        <v>98</v>
      </c>
      <c r="Y543" s="2" t="s">
        <v>201</v>
      </c>
      <c r="Z543" s="4">
        <v>264</v>
      </c>
      <c r="AA543" s="4">
        <f>=ROUNDDOWN(20.3076923076923,0)</f>
      </c>
      <c r="AB543" s="5">
        <v>13</v>
      </c>
      <c r="AC543" s="2" t="s">
        <v>114</v>
      </c>
      <c r="AD543" s="4">
        <v>72</v>
      </c>
      <c r="AE543" s="4">
        <v>224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3</v>
      </c>
      <c r="AQ543" s="8">
        <v>41.4</v>
      </c>
      <c r="AR543" s="4"/>
      <c r="AS543" s="8"/>
      <c r="AT543" s="7"/>
      <c r="AU543" s="7"/>
      <c r="AV543" s="4">
        <v>3</v>
      </c>
      <c r="AW543" s="8">
        <v>41.4</v>
      </c>
      <c r="AX543" s="4"/>
      <c r="AY543" s="8"/>
      <c r="AZ543" s="7"/>
      <c r="BA543" s="7"/>
      <c r="BB543" s="7">
        <v>1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0.0191</v>
      </c>
      <c r="BJ543" s="4">
        <v>75</v>
      </c>
      <c r="BK543" s="8">
        <v>1030.27</v>
      </c>
      <c r="BL543" s="2" t="s">
        <v>296</v>
      </c>
      <c r="BM543" s="7">
        <v>0.04</v>
      </c>
      <c r="BN543" s="7">
        <v>0.0402</v>
      </c>
      <c r="BO543" s="4">
        <v>3</v>
      </c>
      <c r="BP543" s="8">
        <v>41.4</v>
      </c>
      <c r="BQ543" s="4"/>
      <c r="BR543" s="8"/>
      <c r="BS543" s="7"/>
      <c r="BT543" s="7"/>
      <c r="BU543" s="2" t="s">
        <v>107</v>
      </c>
      <c r="BV543" s="2" t="s">
        <v>108</v>
      </c>
      <c r="BW543" s="2" t="s">
        <v>134</v>
      </c>
      <c r="BX543" s="2" t="s">
        <v>1489</v>
      </c>
      <c r="BY543" s="2" t="s">
        <v>111</v>
      </c>
    </row>
    <row r="544">
      <c r="A544" s="2" t="s">
        <v>1861</v>
      </c>
      <c r="B544" s="2" t="s">
        <v>86</v>
      </c>
      <c r="C544" s="2" t="s">
        <v>87</v>
      </c>
      <c r="D544" s="2" t="s">
        <v>1786</v>
      </c>
      <c r="E544" s="2" t="s">
        <v>1786</v>
      </c>
      <c r="F544" s="2" t="s">
        <v>89</v>
      </c>
      <c r="G544" s="2" t="s">
        <v>90</v>
      </c>
      <c r="H544" s="2" t="s">
        <v>91</v>
      </c>
      <c r="I544" s="2" t="s">
        <v>1846</v>
      </c>
      <c r="J544" s="2" t="s">
        <v>1847</v>
      </c>
      <c r="K544" s="2" t="s">
        <v>276</v>
      </c>
      <c r="L544" s="3">
        <v>12.6</v>
      </c>
      <c r="M544" s="3">
        <v>13.23</v>
      </c>
      <c r="N544" s="3">
        <v>29.99</v>
      </c>
      <c r="O544" s="2" t="s">
        <v>95</v>
      </c>
      <c r="P544" s="2" t="s">
        <v>215</v>
      </c>
      <c r="Q544" s="2" t="s">
        <v>97</v>
      </c>
      <c r="R544" s="2" t="s">
        <v>98</v>
      </c>
      <c r="S544" s="2" t="s">
        <v>277</v>
      </c>
      <c r="T544" s="2" t="s">
        <v>98</v>
      </c>
      <c r="U544" s="2" t="s">
        <v>98</v>
      </c>
      <c r="V544" s="2" t="s">
        <v>101</v>
      </c>
      <c r="W544" s="2" t="s">
        <v>102</v>
      </c>
      <c r="X544" s="2" t="s">
        <v>98</v>
      </c>
      <c r="Y544" s="2" t="s">
        <v>1848</v>
      </c>
      <c r="Z544" s="4">
        <v>94</v>
      </c>
      <c r="AA544" s="4">
        <f>=ROUNDDOWN(62.6666666666667,0)</f>
      </c>
      <c r="AB544" s="5">
        <v>1.5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3</v>
      </c>
      <c r="AQ544" s="8">
        <v>41.4</v>
      </c>
      <c r="AR544" s="4">
        <v>27</v>
      </c>
      <c r="AS544" s="8">
        <v>301.32</v>
      </c>
      <c r="AT544" s="7">
        <v>-0.8889</v>
      </c>
      <c r="AU544" s="7">
        <v>-0.8626</v>
      </c>
      <c r="AV544" s="4">
        <v>3</v>
      </c>
      <c r="AW544" s="8">
        <v>41.4</v>
      </c>
      <c r="AX544" s="4">
        <v>27</v>
      </c>
      <c r="AY544" s="8">
        <v>301.32</v>
      </c>
      <c r="AZ544" s="7">
        <v>-0.8889</v>
      </c>
      <c r="BA544" s="7">
        <v>-0.8626</v>
      </c>
      <c r="BB544" s="7">
        <v>1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0.0191</v>
      </c>
      <c r="BJ544" s="4">
        <v>66</v>
      </c>
      <c r="BK544" s="8">
        <v>899.25</v>
      </c>
      <c r="BL544" s="2" t="s">
        <v>1250</v>
      </c>
      <c r="BM544" s="7">
        <v>0.0455</v>
      </c>
      <c r="BN544" s="7">
        <v>0.046</v>
      </c>
      <c r="BO544" s="4">
        <v>3</v>
      </c>
      <c r="BP544" s="8">
        <v>41.4</v>
      </c>
      <c r="BQ544" s="4">
        <v>27</v>
      </c>
      <c r="BR544" s="8">
        <v>301.32</v>
      </c>
      <c r="BS544" s="7">
        <v>-0.8889</v>
      </c>
      <c r="BT544" s="7">
        <v>-0.8626</v>
      </c>
      <c r="BU544" s="2" t="s">
        <v>107</v>
      </c>
      <c r="BV544" s="2" t="s">
        <v>108</v>
      </c>
      <c r="BW544" s="2" t="s">
        <v>244</v>
      </c>
      <c r="BX544" s="2" t="s">
        <v>1862</v>
      </c>
      <c r="BY544" s="2" t="s">
        <v>111</v>
      </c>
    </row>
    <row r="545">
      <c r="A545" s="2" t="s">
        <v>1863</v>
      </c>
      <c r="B545" s="2" t="s">
        <v>86</v>
      </c>
      <c r="C545" s="2" t="s">
        <v>87</v>
      </c>
      <c r="D545" s="2" t="s">
        <v>1786</v>
      </c>
      <c r="E545" s="2" t="s">
        <v>1786</v>
      </c>
      <c r="F545" s="2" t="s">
        <v>89</v>
      </c>
      <c r="G545" s="2" t="s">
        <v>90</v>
      </c>
      <c r="H545" s="2" t="s">
        <v>91</v>
      </c>
      <c r="I545" s="2" t="s">
        <v>1846</v>
      </c>
      <c r="J545" s="2" t="s">
        <v>1847</v>
      </c>
      <c r="K545" s="2" t="s">
        <v>199</v>
      </c>
      <c r="L545" s="3">
        <v>12.6</v>
      </c>
      <c r="M545" s="3">
        <v>13.23</v>
      </c>
      <c r="N545" s="3">
        <v>29.99</v>
      </c>
      <c r="O545" s="2" t="s">
        <v>95</v>
      </c>
      <c r="P545" s="2" t="s">
        <v>150</v>
      </c>
      <c r="Q545" s="2" t="s">
        <v>97</v>
      </c>
      <c r="R545" s="2" t="s">
        <v>98</v>
      </c>
      <c r="S545" s="2" t="s">
        <v>200</v>
      </c>
      <c r="T545" s="2" t="s">
        <v>98</v>
      </c>
      <c r="U545" s="2" t="s">
        <v>100</v>
      </c>
      <c r="V545" s="2" t="s">
        <v>101</v>
      </c>
      <c r="W545" s="2" t="s">
        <v>102</v>
      </c>
      <c r="X545" s="2" t="s">
        <v>98</v>
      </c>
      <c r="Y545" s="2" t="s">
        <v>201</v>
      </c>
      <c r="Z545" s="4">
        <v>265</v>
      </c>
      <c r="AA545" s="4">
        <f>=ROUNDDOWN(37.8571428571429,0)</f>
      </c>
      <c r="AB545" s="5">
        <v>7</v>
      </c>
      <c r="AC545" s="2" t="s">
        <v>98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3</v>
      </c>
      <c r="AQ545" s="8">
        <v>41.4</v>
      </c>
      <c r="AR545" s="4"/>
      <c r="AS545" s="8"/>
      <c r="AT545" s="7"/>
      <c r="AU545" s="7"/>
      <c r="AV545" s="4">
        <v>3</v>
      </c>
      <c r="AW545" s="8">
        <v>41.4</v>
      </c>
      <c r="AX545" s="4"/>
      <c r="AY545" s="8"/>
      <c r="AZ545" s="7"/>
      <c r="BA545" s="7"/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0.0191</v>
      </c>
      <c r="BJ545" s="4">
        <v>63</v>
      </c>
      <c r="BK545" s="8">
        <v>841.72</v>
      </c>
      <c r="BL545" s="2" t="s">
        <v>1864</v>
      </c>
      <c r="BM545" s="7">
        <v>0.0476</v>
      </c>
      <c r="BN545" s="7">
        <v>0.0492</v>
      </c>
      <c r="BO545" s="4">
        <v>3</v>
      </c>
      <c r="BP545" s="8">
        <v>41.4</v>
      </c>
      <c r="BQ545" s="4"/>
      <c r="BR545" s="8"/>
      <c r="BS545" s="7"/>
      <c r="BT545" s="7"/>
      <c r="BU545" s="2" t="s">
        <v>107</v>
      </c>
      <c r="BV545" s="2" t="s">
        <v>108</v>
      </c>
      <c r="BW545" s="2" t="s">
        <v>134</v>
      </c>
      <c r="BX545" s="2" t="s">
        <v>1486</v>
      </c>
      <c r="BY545" s="2" t="s">
        <v>111</v>
      </c>
    </row>
    <row r="546">
      <c r="A546" s="2" t="s">
        <v>1865</v>
      </c>
      <c r="B546" s="2" t="s">
        <v>86</v>
      </c>
      <c r="C546" s="2" t="s">
        <v>87</v>
      </c>
      <c r="D546" s="2" t="s">
        <v>1786</v>
      </c>
      <c r="E546" s="2" t="s">
        <v>1786</v>
      </c>
      <c r="F546" s="2" t="s">
        <v>89</v>
      </c>
      <c r="G546" s="2" t="s">
        <v>90</v>
      </c>
      <c r="H546" s="2" t="s">
        <v>91</v>
      </c>
      <c r="I546" s="2" t="s">
        <v>1846</v>
      </c>
      <c r="J546" s="2" t="s">
        <v>1847</v>
      </c>
      <c r="K546" s="2" t="s">
        <v>214</v>
      </c>
      <c r="L546" s="3">
        <v>12.6</v>
      </c>
      <c r="M546" s="3">
        <v>13.23</v>
      </c>
      <c r="N546" s="3">
        <v>29.99</v>
      </c>
      <c r="O546" s="2" t="s">
        <v>95</v>
      </c>
      <c r="P546" s="2" t="s">
        <v>220</v>
      </c>
      <c r="Q546" s="2" t="s">
        <v>97</v>
      </c>
      <c r="R546" s="2" t="s">
        <v>98</v>
      </c>
      <c r="S546" s="2" t="s">
        <v>216</v>
      </c>
      <c r="T546" s="2" t="s">
        <v>98</v>
      </c>
      <c r="U546" s="2" t="s">
        <v>98</v>
      </c>
      <c r="V546" s="2" t="s">
        <v>101</v>
      </c>
      <c r="W546" s="2" t="s">
        <v>102</v>
      </c>
      <c r="X546" s="2" t="s">
        <v>98</v>
      </c>
      <c r="Y546" s="2" t="s">
        <v>1848</v>
      </c>
      <c r="Z546" s="4">
        <v>32</v>
      </c>
      <c r="AA546" s="4">
        <f>=ROUNDDOWN(3.55555555555556,0)</f>
      </c>
      <c r="AB546" s="5">
        <v>9</v>
      </c>
      <c r="AC546" s="2" t="s">
        <v>105</v>
      </c>
      <c r="AD546" s="4">
        <v>176</v>
      </c>
      <c r="AE546" s="4">
        <v>176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>
        <v>17</v>
      </c>
      <c r="AS546" s="8">
        <v>189.72</v>
      </c>
      <c r="AT546" s="7">
        <v>-1</v>
      </c>
      <c r="AU546" s="7">
        <v>-1</v>
      </c>
      <c r="AV546" s="4"/>
      <c r="AW546" s="8"/>
      <c r="AX546" s="4">
        <v>17</v>
      </c>
      <c r="AY546" s="8">
        <v>189.72</v>
      </c>
      <c r="AZ546" s="7">
        <v>-1</v>
      </c>
      <c r="BA546" s="7">
        <v>-1</v>
      </c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59</v>
      </c>
      <c r="BK546" s="8">
        <v>808.84</v>
      </c>
      <c r="BL546" s="2" t="s">
        <v>1866</v>
      </c>
      <c r="BM546" s="7"/>
      <c r="BN546" s="7"/>
      <c r="BO546" s="4"/>
      <c r="BP546" s="8"/>
      <c r="BQ546" s="4">
        <v>17</v>
      </c>
      <c r="BR546" s="8">
        <v>189.72</v>
      </c>
      <c r="BS546" s="7">
        <v>-1</v>
      </c>
      <c r="BT546" s="7">
        <v>-1</v>
      </c>
      <c r="BU546" s="2" t="s">
        <v>107</v>
      </c>
      <c r="BV546" s="2" t="s">
        <v>108</v>
      </c>
      <c r="BW546" s="2" t="s">
        <v>244</v>
      </c>
      <c r="BX546" s="2" t="s">
        <v>410</v>
      </c>
      <c r="BY546" s="2" t="s">
        <v>111</v>
      </c>
    </row>
    <row r="547">
      <c r="A547" s="2" t="s">
        <v>1867</v>
      </c>
      <c r="B547" s="2" t="s">
        <v>86</v>
      </c>
      <c r="C547" s="2" t="s">
        <v>87</v>
      </c>
      <c r="D547" s="2" t="s">
        <v>1786</v>
      </c>
      <c r="E547" s="2" t="s">
        <v>1786</v>
      </c>
      <c r="F547" s="2" t="s">
        <v>1332</v>
      </c>
      <c r="G547" s="2" t="s">
        <v>1333</v>
      </c>
      <c r="H547" s="2" t="s">
        <v>1334</v>
      </c>
      <c r="I547" s="2" t="s">
        <v>1868</v>
      </c>
      <c r="J547" s="2" t="s">
        <v>1869</v>
      </c>
      <c r="K547" s="2" t="s">
        <v>1359</v>
      </c>
      <c r="L547" s="3">
        <v>9</v>
      </c>
      <c r="M547" s="3">
        <v>9.45</v>
      </c>
      <c r="N547" s="3">
        <v>19.99</v>
      </c>
      <c r="O547" s="2" t="s">
        <v>368</v>
      </c>
      <c r="P547" s="2" t="s">
        <v>465</v>
      </c>
      <c r="Q547" s="2" t="s">
        <v>97</v>
      </c>
      <c r="R547" s="2" t="s">
        <v>98</v>
      </c>
      <c r="S547" s="2" t="s">
        <v>1360</v>
      </c>
      <c r="T547" s="2" t="s">
        <v>98</v>
      </c>
      <c r="U547" s="2" t="s">
        <v>98</v>
      </c>
      <c r="V547" s="2" t="s">
        <v>617</v>
      </c>
      <c r="W547" s="2" t="s">
        <v>102</v>
      </c>
      <c r="X547" s="2" t="s">
        <v>98</v>
      </c>
      <c r="Y547" s="2" t="s">
        <v>1658</v>
      </c>
      <c r="Z547" s="4"/>
      <c r="AA547" s="4">
        <f>=ROUNDDOWN({0},0)</f>
      </c>
      <c r="AB547" s="5"/>
      <c r="AC547" s="2" t="s">
        <v>98</v>
      </c>
      <c r="AD547" s="4"/>
      <c r="AE547" s="4"/>
      <c r="AF547" s="6"/>
      <c r="AG547" s="6"/>
      <c r="AH547" s="7">
        <v>0.1222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>
        <v>12</v>
      </c>
      <c r="AS547" s="8">
        <v>107.16</v>
      </c>
      <c r="AT547" s="7">
        <v>-1</v>
      </c>
      <c r="AU547" s="7">
        <v>-1</v>
      </c>
      <c r="AV547" s="4">
        <v>30</v>
      </c>
      <c r="AW547" s="8">
        <v>405</v>
      </c>
      <c r="AX547" s="4">
        <v>86</v>
      </c>
      <c r="AY547" s="8">
        <v>933</v>
      </c>
      <c r="AZ547" s="7">
        <v>-0.6512</v>
      </c>
      <c r="BA547" s="7">
        <v>-0.5659</v>
      </c>
      <c r="BB547" s="7"/>
      <c r="BC547" s="4">
        <v>86</v>
      </c>
      <c r="BD547" s="8">
        <v>1161</v>
      </c>
      <c r="BE547" s="4">
        <v>173</v>
      </c>
      <c r="BF547" s="8">
        <v>1879.39</v>
      </c>
      <c r="BG547" s="7">
        <v>-0.5029</v>
      </c>
      <c r="BH547" s="7">
        <v>-0.3822</v>
      </c>
      <c r="BI547" s="7">
        <v>0.3488</v>
      </c>
      <c r="BJ547" s="4"/>
      <c r="BK547" s="8"/>
      <c r="BL547" s="2" t="s">
        <v>1870</v>
      </c>
      <c r="BM547" s="7"/>
      <c r="BN547" s="7"/>
      <c r="BO547" s="4"/>
      <c r="BP547" s="8"/>
      <c r="BQ547" s="4">
        <v>12</v>
      </c>
      <c r="BR547" s="8">
        <v>107.16</v>
      </c>
      <c r="BS547" s="7">
        <v>-1</v>
      </c>
      <c r="BT547" s="7">
        <v>-1</v>
      </c>
      <c r="BU547" s="2" t="s">
        <v>211</v>
      </c>
      <c r="BV547" s="2" t="s">
        <v>352</v>
      </c>
      <c r="BW547" s="2" t="s">
        <v>244</v>
      </c>
      <c r="BX547" s="2" t="s">
        <v>1520</v>
      </c>
      <c r="BY547" s="2" t="s">
        <v>111</v>
      </c>
    </row>
    <row r="548">
      <c r="A548" s="2" t="s">
        <v>1871</v>
      </c>
      <c r="B548" s="2" t="s">
        <v>86</v>
      </c>
      <c r="C548" s="2" t="s">
        <v>87</v>
      </c>
      <c r="D548" s="2" t="s">
        <v>1786</v>
      </c>
      <c r="E548" s="2" t="s">
        <v>1786</v>
      </c>
      <c r="F548" s="2" t="s">
        <v>1332</v>
      </c>
      <c r="G548" s="2" t="s">
        <v>1333</v>
      </c>
      <c r="H548" s="2" t="s">
        <v>1334</v>
      </c>
      <c r="I548" s="2" t="s">
        <v>1872</v>
      </c>
      <c r="J548" s="2" t="s">
        <v>1791</v>
      </c>
      <c r="K548" s="2" t="s">
        <v>1359</v>
      </c>
      <c r="L548" s="3">
        <v>12.42</v>
      </c>
      <c r="M548" s="3">
        <v>13.04</v>
      </c>
      <c r="N548" s="3">
        <v>26.99</v>
      </c>
      <c r="O548" s="2" t="s">
        <v>95</v>
      </c>
      <c r="P548" s="2" t="s">
        <v>150</v>
      </c>
      <c r="Q548" s="2" t="s">
        <v>97</v>
      </c>
      <c r="R548" s="2" t="s">
        <v>98</v>
      </c>
      <c r="S548" s="2" t="s">
        <v>1360</v>
      </c>
      <c r="T548" s="2" t="s">
        <v>98</v>
      </c>
      <c r="U548" s="2" t="s">
        <v>98</v>
      </c>
      <c r="V548" s="2" t="s">
        <v>617</v>
      </c>
      <c r="W548" s="2" t="s">
        <v>102</v>
      </c>
      <c r="X548" s="2" t="s">
        <v>98</v>
      </c>
      <c r="Y548" s="2" t="s">
        <v>1658</v>
      </c>
      <c r="Z548" s="4">
        <v>191</v>
      </c>
      <c r="AA548" s="4">
        <f>=ROUNDDOWN(17.3636363636364,0)</f>
      </c>
      <c r="AB548" s="5">
        <v>11</v>
      </c>
      <c r="AC548" s="2" t="s">
        <v>388</v>
      </c>
      <c r="AD548" s="4">
        <v>176</v>
      </c>
      <c r="AE548" s="4">
        <v>176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30</v>
      </c>
      <c r="AQ548" s="8">
        <v>405</v>
      </c>
      <c r="AR548" s="4">
        <v>74</v>
      </c>
      <c r="AS548" s="8">
        <v>825.84</v>
      </c>
      <c r="AT548" s="7">
        <v>-0.5946</v>
      </c>
      <c r="AU548" s="7">
        <v>-0.5096</v>
      </c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 t="s">
        <v>98</v>
      </c>
      <c r="BJ548" s="4">
        <v>209</v>
      </c>
      <c r="BK548" s="8">
        <v>2789.32</v>
      </c>
      <c r="BL548" s="2" t="s">
        <v>1873</v>
      </c>
      <c r="BM548" s="7">
        <v>0.1435</v>
      </c>
      <c r="BN548" s="7">
        <v>0.1452</v>
      </c>
      <c r="BO548" s="4">
        <v>30</v>
      </c>
      <c r="BP548" s="8">
        <v>405</v>
      </c>
      <c r="BQ548" s="4">
        <v>74</v>
      </c>
      <c r="BR548" s="8">
        <v>825.84</v>
      </c>
      <c r="BS548" s="7">
        <v>-0.5946</v>
      </c>
      <c r="BT548" s="7">
        <v>-0.5096</v>
      </c>
      <c r="BU548" s="2" t="s">
        <v>107</v>
      </c>
      <c r="BV548" s="2" t="s">
        <v>108</v>
      </c>
      <c r="BW548" s="2" t="s">
        <v>244</v>
      </c>
      <c r="BX548" s="2" t="s">
        <v>1289</v>
      </c>
      <c r="BY548" s="2" t="s">
        <v>111</v>
      </c>
    </row>
    <row r="549">
      <c r="A549" s="2" t="s">
        <v>1874</v>
      </c>
      <c r="B549" s="2" t="s">
        <v>86</v>
      </c>
      <c r="C549" s="2" t="s">
        <v>87</v>
      </c>
      <c r="D549" s="2" t="s">
        <v>1786</v>
      </c>
      <c r="E549" s="2" t="s">
        <v>1786</v>
      </c>
      <c r="F549" s="2" t="s">
        <v>1332</v>
      </c>
      <c r="G549" s="2" t="s">
        <v>1333</v>
      </c>
      <c r="H549" s="2" t="s">
        <v>1334</v>
      </c>
      <c r="I549" s="2" t="s">
        <v>1868</v>
      </c>
      <c r="J549" s="2" t="s">
        <v>1869</v>
      </c>
      <c r="K549" s="2" t="s">
        <v>458</v>
      </c>
      <c r="L549" s="3">
        <v>9</v>
      </c>
      <c r="M549" s="3">
        <v>9.45</v>
      </c>
      <c r="N549" s="3">
        <v>19.99</v>
      </c>
      <c r="O549" s="2" t="s">
        <v>368</v>
      </c>
      <c r="P549" s="2" t="s">
        <v>465</v>
      </c>
      <c r="Q549" s="2" t="s">
        <v>97</v>
      </c>
      <c r="R549" s="2" t="s">
        <v>98</v>
      </c>
      <c r="S549" s="2" t="s">
        <v>1346</v>
      </c>
      <c r="T549" s="2" t="s">
        <v>98</v>
      </c>
      <c r="U549" s="2" t="s">
        <v>98</v>
      </c>
      <c r="V549" s="2" t="s">
        <v>617</v>
      </c>
      <c r="W549" s="2" t="s">
        <v>102</v>
      </c>
      <c r="X549" s="2" t="s">
        <v>98</v>
      </c>
      <c r="Y549" s="2" t="s">
        <v>1658</v>
      </c>
      <c r="Z549" s="4"/>
      <c r="AA549" s="4">
        <f>=ROUNDDOWN({0},0)</f>
      </c>
      <c r="AB549" s="5"/>
      <c r="AC549" s="2" t="s">
        <v>98</v>
      </c>
      <c r="AD549" s="4"/>
      <c r="AE549" s="4"/>
      <c r="AF549" s="6"/>
      <c r="AG549" s="6"/>
      <c r="AH549" s="7">
        <v>0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>
        <v>2</v>
      </c>
      <c r="AS549" s="8">
        <v>17.86</v>
      </c>
      <c r="AT549" s="7">
        <v>-1</v>
      </c>
      <c r="AU549" s="7">
        <v>-1</v>
      </c>
      <c r="AV549" s="4">
        <v>24</v>
      </c>
      <c r="AW549" s="8">
        <v>324</v>
      </c>
      <c r="AX549" s="4">
        <v>15</v>
      </c>
      <c r="AY549" s="8">
        <v>162.94</v>
      </c>
      <c r="AZ549" s="7">
        <v>0.6</v>
      </c>
      <c r="BA549" s="7">
        <v>0.9885</v>
      </c>
      <c r="BB549" s="7"/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0.2791</v>
      </c>
      <c r="BJ549" s="4"/>
      <c r="BK549" s="8"/>
      <c r="BL549" s="2" t="s">
        <v>1875</v>
      </c>
      <c r="BM549" s="7"/>
      <c r="BN549" s="7"/>
      <c r="BO549" s="4"/>
      <c r="BP549" s="8"/>
      <c r="BQ549" s="4">
        <v>2</v>
      </c>
      <c r="BR549" s="8">
        <v>17.86</v>
      </c>
      <c r="BS549" s="7">
        <v>-1</v>
      </c>
      <c r="BT549" s="7">
        <v>-1</v>
      </c>
      <c r="BU549" s="2" t="s">
        <v>211</v>
      </c>
      <c r="BV549" s="2" t="s">
        <v>352</v>
      </c>
      <c r="BW549" s="2" t="s">
        <v>244</v>
      </c>
      <c r="BX549" s="2" t="s">
        <v>357</v>
      </c>
      <c r="BY549" s="2" t="s">
        <v>111</v>
      </c>
    </row>
    <row r="550">
      <c r="A550" s="2" t="s">
        <v>1876</v>
      </c>
      <c r="B550" s="2" t="s">
        <v>86</v>
      </c>
      <c r="C550" s="2" t="s">
        <v>87</v>
      </c>
      <c r="D550" s="2" t="s">
        <v>1786</v>
      </c>
      <c r="E550" s="2" t="s">
        <v>1786</v>
      </c>
      <c r="F550" s="2" t="s">
        <v>1332</v>
      </c>
      <c r="G550" s="2" t="s">
        <v>1333</v>
      </c>
      <c r="H550" s="2" t="s">
        <v>1334</v>
      </c>
      <c r="I550" s="2" t="s">
        <v>1872</v>
      </c>
      <c r="J550" s="2" t="s">
        <v>1791</v>
      </c>
      <c r="K550" s="2" t="s">
        <v>458</v>
      </c>
      <c r="L550" s="3">
        <v>12.42</v>
      </c>
      <c r="M550" s="3">
        <v>13.04</v>
      </c>
      <c r="N550" s="3">
        <v>26.99</v>
      </c>
      <c r="O550" s="2" t="s">
        <v>95</v>
      </c>
      <c r="P550" s="2" t="s">
        <v>150</v>
      </c>
      <c r="Q550" s="2" t="s">
        <v>97</v>
      </c>
      <c r="R550" s="2" t="s">
        <v>98</v>
      </c>
      <c r="S550" s="2" t="s">
        <v>1346</v>
      </c>
      <c r="T550" s="2" t="s">
        <v>98</v>
      </c>
      <c r="U550" s="2" t="s">
        <v>98</v>
      </c>
      <c r="V550" s="2" t="s">
        <v>617</v>
      </c>
      <c r="W550" s="2" t="s">
        <v>102</v>
      </c>
      <c r="X550" s="2" t="s">
        <v>98</v>
      </c>
      <c r="Y550" s="2" t="s">
        <v>1658</v>
      </c>
      <c r="Z550" s="4">
        <v>370</v>
      </c>
      <c r="AA550" s="4">
        <f>=ROUNDDOWN(46.25,0)</f>
      </c>
      <c r="AB550" s="5">
        <v>8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24</v>
      </c>
      <c r="AQ550" s="8">
        <v>324</v>
      </c>
      <c r="AR550" s="4">
        <v>13</v>
      </c>
      <c r="AS550" s="8">
        <v>145.08</v>
      </c>
      <c r="AT550" s="7">
        <v>0.8462</v>
      </c>
      <c r="AU550" s="7">
        <v>1.2333</v>
      </c>
      <c r="AV550" s="4" t="s">
        <v>98</v>
      </c>
      <c r="AW550" s="8" t="s">
        <v>98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 t="s">
        <v>98</v>
      </c>
      <c r="BJ550" s="4">
        <v>287</v>
      </c>
      <c r="BK550" s="8">
        <v>3770.27</v>
      </c>
      <c r="BL550" s="2" t="s">
        <v>1877</v>
      </c>
      <c r="BM550" s="7">
        <v>0.0836</v>
      </c>
      <c r="BN550" s="7">
        <v>0.0859</v>
      </c>
      <c r="BO550" s="4">
        <v>24</v>
      </c>
      <c r="BP550" s="8">
        <v>324</v>
      </c>
      <c r="BQ550" s="4">
        <v>13</v>
      </c>
      <c r="BR550" s="8">
        <v>145.08</v>
      </c>
      <c r="BS550" s="7">
        <v>0.8462</v>
      </c>
      <c r="BT550" s="7">
        <v>1.2333</v>
      </c>
      <c r="BU550" s="2" t="s">
        <v>107</v>
      </c>
      <c r="BV550" s="2" t="s">
        <v>108</v>
      </c>
      <c r="BW550" s="2" t="s">
        <v>244</v>
      </c>
      <c r="BX550" s="2" t="s">
        <v>357</v>
      </c>
      <c r="BY550" s="2" t="s">
        <v>111</v>
      </c>
    </row>
    <row r="551">
      <c r="A551" s="2" t="s">
        <v>1878</v>
      </c>
      <c r="B551" s="2" t="s">
        <v>86</v>
      </c>
      <c r="C551" s="2" t="s">
        <v>87</v>
      </c>
      <c r="D551" s="2" t="s">
        <v>1786</v>
      </c>
      <c r="E551" s="2" t="s">
        <v>1786</v>
      </c>
      <c r="F551" s="2" t="s">
        <v>1332</v>
      </c>
      <c r="G551" s="2" t="s">
        <v>1333</v>
      </c>
      <c r="H551" s="2" t="s">
        <v>1334</v>
      </c>
      <c r="I551" s="2" t="s">
        <v>1872</v>
      </c>
      <c r="J551" s="2" t="s">
        <v>1791</v>
      </c>
      <c r="K551" s="2" t="s">
        <v>400</v>
      </c>
      <c r="L551" s="3">
        <v>12.42</v>
      </c>
      <c r="M551" s="3">
        <v>13.04</v>
      </c>
      <c r="N551" s="3">
        <v>26.99</v>
      </c>
      <c r="O551" s="2" t="s">
        <v>95</v>
      </c>
      <c r="P551" s="2" t="s">
        <v>150</v>
      </c>
      <c r="Q551" s="2" t="s">
        <v>97</v>
      </c>
      <c r="R551" s="2" t="s">
        <v>98</v>
      </c>
      <c r="S551" s="2" t="s">
        <v>1352</v>
      </c>
      <c r="T551" s="2" t="s">
        <v>98</v>
      </c>
      <c r="U551" s="2" t="s">
        <v>98</v>
      </c>
      <c r="V551" s="2" t="s">
        <v>617</v>
      </c>
      <c r="W551" s="2" t="s">
        <v>102</v>
      </c>
      <c r="X551" s="2" t="s">
        <v>98</v>
      </c>
      <c r="Y551" s="2" t="s">
        <v>1658</v>
      </c>
      <c r="Z551" s="4">
        <v>155</v>
      </c>
      <c r="AA551" s="4">
        <f>=ROUNDDOWN(12.9166666666667,0)</f>
      </c>
      <c r="AB551" s="5">
        <v>12</v>
      </c>
      <c r="AC551" s="2" t="s">
        <v>489</v>
      </c>
      <c r="AD551" s="4">
        <v>352</v>
      </c>
      <c r="AE551" s="4">
        <v>352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16</v>
      </c>
      <c r="AQ551" s="8">
        <v>216</v>
      </c>
      <c r="AR551" s="4">
        <v>36</v>
      </c>
      <c r="AS551" s="8">
        <v>401.76</v>
      </c>
      <c r="AT551" s="7">
        <v>-0.5556</v>
      </c>
      <c r="AU551" s="7">
        <v>-0.4624</v>
      </c>
      <c r="AV551" s="4">
        <v>16</v>
      </c>
      <c r="AW551" s="8">
        <v>216</v>
      </c>
      <c r="AX551" s="4">
        <v>36</v>
      </c>
      <c r="AY551" s="8">
        <v>401.76</v>
      </c>
      <c r="AZ551" s="7">
        <v>-0.5556</v>
      </c>
      <c r="BA551" s="7">
        <v>-0.4624</v>
      </c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0.186</v>
      </c>
      <c r="BJ551" s="4">
        <v>154</v>
      </c>
      <c r="BK551" s="8">
        <v>2022.65</v>
      </c>
      <c r="BL551" s="2" t="s">
        <v>538</v>
      </c>
      <c r="BM551" s="7">
        <v>0.1039</v>
      </c>
      <c r="BN551" s="7">
        <v>0.1068</v>
      </c>
      <c r="BO551" s="4">
        <v>16</v>
      </c>
      <c r="BP551" s="8">
        <v>216</v>
      </c>
      <c r="BQ551" s="4">
        <v>36</v>
      </c>
      <c r="BR551" s="8">
        <v>401.76</v>
      </c>
      <c r="BS551" s="7">
        <v>-0.5556</v>
      </c>
      <c r="BT551" s="7">
        <v>-0.4624</v>
      </c>
      <c r="BU551" s="2" t="s">
        <v>107</v>
      </c>
      <c r="BV551" s="2" t="s">
        <v>108</v>
      </c>
      <c r="BW551" s="2" t="s">
        <v>244</v>
      </c>
      <c r="BX551" s="2" t="s">
        <v>1285</v>
      </c>
      <c r="BY551" s="2" t="s">
        <v>111</v>
      </c>
    </row>
    <row r="552">
      <c r="A552" s="2" t="s">
        <v>1879</v>
      </c>
      <c r="B552" s="2" t="s">
        <v>86</v>
      </c>
      <c r="C552" s="2" t="s">
        <v>87</v>
      </c>
      <c r="D552" s="2" t="s">
        <v>1786</v>
      </c>
      <c r="E552" s="2" t="s">
        <v>1786</v>
      </c>
      <c r="F552" s="2" t="s">
        <v>1332</v>
      </c>
      <c r="G552" s="2" t="s">
        <v>1333</v>
      </c>
      <c r="H552" s="2" t="s">
        <v>1334</v>
      </c>
      <c r="I552" s="2" t="s">
        <v>1868</v>
      </c>
      <c r="J552" s="2" t="s">
        <v>1869</v>
      </c>
      <c r="K552" s="2" t="s">
        <v>94</v>
      </c>
      <c r="L552" s="3">
        <v>9</v>
      </c>
      <c r="M552" s="3">
        <v>9.45</v>
      </c>
      <c r="N552" s="3">
        <v>19.99</v>
      </c>
      <c r="O552" s="2" t="s">
        <v>368</v>
      </c>
      <c r="P552" s="2" t="s">
        <v>465</v>
      </c>
      <c r="Q552" s="2" t="s">
        <v>97</v>
      </c>
      <c r="R552" s="2" t="s">
        <v>98</v>
      </c>
      <c r="S552" s="2" t="s">
        <v>1336</v>
      </c>
      <c r="T552" s="2" t="s">
        <v>98</v>
      </c>
      <c r="U552" s="2" t="s">
        <v>98</v>
      </c>
      <c r="V552" s="2" t="s">
        <v>617</v>
      </c>
      <c r="W552" s="2" t="s">
        <v>102</v>
      </c>
      <c r="X552" s="2" t="s">
        <v>98</v>
      </c>
      <c r="Y552" s="2" t="s">
        <v>1658</v>
      </c>
      <c r="Z552" s="4"/>
      <c r="AA552" s="4">
        <f>=ROUNDDOWN({0},0)</f>
      </c>
      <c r="AB552" s="5"/>
      <c r="AC552" s="2" t="s">
        <v>98</v>
      </c>
      <c r="AD552" s="4"/>
      <c r="AE552" s="4"/>
      <c r="AF552" s="6"/>
      <c r="AG552" s="6"/>
      <c r="AH552" s="7">
        <v>0.5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>
        <v>9</v>
      </c>
      <c r="AS552" s="8">
        <v>80.37</v>
      </c>
      <c r="AT552" s="7">
        <v>-1</v>
      </c>
      <c r="AU552" s="7">
        <v>-1</v>
      </c>
      <c r="AV552" s="4">
        <v>16</v>
      </c>
      <c r="AW552" s="8">
        <v>216</v>
      </c>
      <c r="AX552" s="4">
        <v>36</v>
      </c>
      <c r="AY552" s="8">
        <v>381.69</v>
      </c>
      <c r="AZ552" s="7">
        <v>-0.5556</v>
      </c>
      <c r="BA552" s="7">
        <v>-0.4341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0.186</v>
      </c>
      <c r="BJ552" s="4"/>
      <c r="BK552" s="8"/>
      <c r="BL552" s="2" t="s">
        <v>1880</v>
      </c>
      <c r="BM552" s="7"/>
      <c r="BN552" s="7"/>
      <c r="BO552" s="4"/>
      <c r="BP552" s="8"/>
      <c r="BQ552" s="4">
        <v>9</v>
      </c>
      <c r="BR552" s="8">
        <v>80.37</v>
      </c>
      <c r="BS552" s="7">
        <v>-1</v>
      </c>
      <c r="BT552" s="7">
        <v>-1</v>
      </c>
      <c r="BU552" s="2" t="s">
        <v>211</v>
      </c>
      <c r="BV552" s="2" t="s">
        <v>352</v>
      </c>
      <c r="BW552" s="2" t="s">
        <v>244</v>
      </c>
      <c r="BX552" s="2" t="s">
        <v>415</v>
      </c>
      <c r="BY552" s="2" t="s">
        <v>111</v>
      </c>
    </row>
    <row r="553">
      <c r="A553" s="2" t="s">
        <v>1881</v>
      </c>
      <c r="B553" s="2" t="s">
        <v>86</v>
      </c>
      <c r="C553" s="2" t="s">
        <v>87</v>
      </c>
      <c r="D553" s="2" t="s">
        <v>1786</v>
      </c>
      <c r="E553" s="2" t="s">
        <v>1786</v>
      </c>
      <c r="F553" s="2" t="s">
        <v>1332</v>
      </c>
      <c r="G553" s="2" t="s">
        <v>1333</v>
      </c>
      <c r="H553" s="2" t="s">
        <v>1334</v>
      </c>
      <c r="I553" s="2" t="s">
        <v>1872</v>
      </c>
      <c r="J553" s="2" t="s">
        <v>1791</v>
      </c>
      <c r="K553" s="2" t="s">
        <v>94</v>
      </c>
      <c r="L553" s="3">
        <v>12.42</v>
      </c>
      <c r="M553" s="3">
        <v>13.04</v>
      </c>
      <c r="N553" s="3">
        <v>26.99</v>
      </c>
      <c r="O553" s="2" t="s">
        <v>95</v>
      </c>
      <c r="P553" s="2" t="s">
        <v>150</v>
      </c>
      <c r="Q553" s="2" t="s">
        <v>97</v>
      </c>
      <c r="R553" s="2" t="s">
        <v>98</v>
      </c>
      <c r="S553" s="2" t="s">
        <v>1336</v>
      </c>
      <c r="T553" s="2" t="s">
        <v>98</v>
      </c>
      <c r="U553" s="2" t="s">
        <v>98</v>
      </c>
      <c r="V553" s="2" t="s">
        <v>617</v>
      </c>
      <c r="W553" s="2" t="s">
        <v>102</v>
      </c>
      <c r="X553" s="2" t="s">
        <v>98</v>
      </c>
      <c r="Y553" s="2" t="s">
        <v>1658</v>
      </c>
      <c r="Z553" s="4">
        <v>164</v>
      </c>
      <c r="AA553" s="4">
        <f>=ROUNDDOWN(14.9090909090909,0)</f>
      </c>
      <c r="AB553" s="5">
        <v>11</v>
      </c>
      <c r="AC553" s="2" t="s">
        <v>489</v>
      </c>
      <c r="AD553" s="4">
        <v>56</v>
      </c>
      <c r="AE553" s="4">
        <v>216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16</v>
      </c>
      <c r="AQ553" s="8">
        <v>216</v>
      </c>
      <c r="AR553" s="4">
        <v>27</v>
      </c>
      <c r="AS553" s="8">
        <v>301.32</v>
      </c>
      <c r="AT553" s="7">
        <v>-0.4074</v>
      </c>
      <c r="AU553" s="7">
        <v>-0.2832</v>
      </c>
      <c r="AV553" s="4" t="s">
        <v>98</v>
      </c>
      <c r="AW553" s="8" t="s">
        <v>98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 t="s">
        <v>98</v>
      </c>
      <c r="BJ553" s="4">
        <v>181</v>
      </c>
      <c r="BK553" s="8">
        <v>2377.3</v>
      </c>
      <c r="BL553" s="2" t="s">
        <v>1542</v>
      </c>
      <c r="BM553" s="7">
        <v>0.0884</v>
      </c>
      <c r="BN553" s="7">
        <v>0.0909</v>
      </c>
      <c r="BO553" s="4">
        <v>16</v>
      </c>
      <c r="BP553" s="8">
        <v>216</v>
      </c>
      <c r="BQ553" s="4">
        <v>27</v>
      </c>
      <c r="BR553" s="8">
        <v>301.32</v>
      </c>
      <c r="BS553" s="7">
        <v>-0.4074</v>
      </c>
      <c r="BT553" s="7">
        <v>-0.2832</v>
      </c>
      <c r="BU553" s="2" t="s">
        <v>107</v>
      </c>
      <c r="BV553" s="2" t="s">
        <v>108</v>
      </c>
      <c r="BW553" s="2" t="s">
        <v>244</v>
      </c>
      <c r="BX553" s="2" t="s">
        <v>443</v>
      </c>
      <c r="BY553" s="2" t="s">
        <v>111</v>
      </c>
    </row>
    <row r="554">
      <c r="A554" s="2" t="s">
        <v>1882</v>
      </c>
      <c r="B554" s="2" t="s">
        <v>86</v>
      </c>
      <c r="C554" s="2" t="s">
        <v>87</v>
      </c>
      <c r="D554" s="2" t="s">
        <v>1786</v>
      </c>
      <c r="E554" s="2" t="s">
        <v>1786</v>
      </c>
      <c r="F554" s="2" t="s">
        <v>327</v>
      </c>
      <c r="G554" s="2" t="s">
        <v>328</v>
      </c>
      <c r="H554" s="2" t="s">
        <v>329</v>
      </c>
      <c r="I554" s="2" t="s">
        <v>1883</v>
      </c>
      <c r="J554" s="2" t="s">
        <v>1808</v>
      </c>
      <c r="K554" s="2" t="s">
        <v>367</v>
      </c>
      <c r="L554" s="3">
        <v>11.25</v>
      </c>
      <c r="M554" s="3">
        <v>11.81</v>
      </c>
      <c r="N554" s="3">
        <v>24.99</v>
      </c>
      <c r="O554" s="2" t="s">
        <v>95</v>
      </c>
      <c r="P554" s="2" t="s">
        <v>150</v>
      </c>
      <c r="Q554" s="2" t="s">
        <v>97</v>
      </c>
      <c r="R554" s="2" t="s">
        <v>98</v>
      </c>
      <c r="S554" s="2" t="s">
        <v>369</v>
      </c>
      <c r="T554" s="2" t="s">
        <v>98</v>
      </c>
      <c r="U554" s="2" t="s">
        <v>100</v>
      </c>
      <c r="V554" s="2" t="s">
        <v>334</v>
      </c>
      <c r="W554" s="2" t="s">
        <v>335</v>
      </c>
      <c r="X554" s="2" t="s">
        <v>98</v>
      </c>
      <c r="Y554" s="2" t="s">
        <v>104</v>
      </c>
      <c r="Z554" s="4">
        <v>579</v>
      </c>
      <c r="AA554" s="4">
        <f>=ROUNDDOWN(38.6,0)</f>
      </c>
      <c r="AB554" s="5">
        <v>15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1</v>
      </c>
      <c r="AP554" s="4">
        <v>16</v>
      </c>
      <c r="AQ554" s="8">
        <v>188</v>
      </c>
      <c r="AR554" s="4">
        <v>9</v>
      </c>
      <c r="AS554" s="8">
        <v>85.68</v>
      </c>
      <c r="AT554" s="7">
        <v>0.7778</v>
      </c>
      <c r="AU554" s="7">
        <v>1.1942</v>
      </c>
      <c r="AV554" s="4">
        <v>16</v>
      </c>
      <c r="AW554" s="8">
        <v>188</v>
      </c>
      <c r="AX554" s="4">
        <v>9</v>
      </c>
      <c r="AY554" s="8">
        <v>85.68</v>
      </c>
      <c r="AZ554" s="7">
        <v>0.7778</v>
      </c>
      <c r="BA554" s="7">
        <v>1.1942</v>
      </c>
      <c r="BB554" s="7">
        <v>1</v>
      </c>
      <c r="BC554" s="4">
        <v>73</v>
      </c>
      <c r="BD554" s="8">
        <v>857.75</v>
      </c>
      <c r="BE554" s="4">
        <v>114</v>
      </c>
      <c r="BF554" s="8">
        <v>1085.28</v>
      </c>
      <c r="BG554" s="7">
        <v>-0.3596</v>
      </c>
      <c r="BH554" s="7">
        <v>-0.2097</v>
      </c>
      <c r="BI554" s="7">
        <v>0.2192</v>
      </c>
      <c r="BJ554" s="4">
        <v>194</v>
      </c>
      <c r="BK554" s="8">
        <v>2201.16</v>
      </c>
      <c r="BL554" s="2" t="s">
        <v>1884</v>
      </c>
      <c r="BM554" s="7">
        <v>0.0825</v>
      </c>
      <c r="BN554" s="7">
        <v>0.0854</v>
      </c>
      <c r="BO554" s="4">
        <v>16</v>
      </c>
      <c r="BP554" s="8">
        <v>188</v>
      </c>
      <c r="BQ554" s="4">
        <v>9</v>
      </c>
      <c r="BR554" s="8">
        <v>85.68</v>
      </c>
      <c r="BS554" s="7">
        <v>0.7778</v>
      </c>
      <c r="BT554" s="7">
        <v>1.1942</v>
      </c>
      <c r="BU554" s="2" t="s">
        <v>107</v>
      </c>
      <c r="BV554" s="2" t="s">
        <v>108</v>
      </c>
      <c r="BW554" s="2" t="s">
        <v>244</v>
      </c>
      <c r="BX554" s="2" t="s">
        <v>1823</v>
      </c>
      <c r="BY554" s="2" t="s">
        <v>111</v>
      </c>
    </row>
    <row r="555">
      <c r="A555" s="2" t="s">
        <v>1885</v>
      </c>
      <c r="B555" s="2" t="s">
        <v>86</v>
      </c>
      <c r="C555" s="2" t="s">
        <v>87</v>
      </c>
      <c r="D555" s="2" t="s">
        <v>1786</v>
      </c>
      <c r="E555" s="2" t="s">
        <v>1786</v>
      </c>
      <c r="F555" s="2" t="s">
        <v>327</v>
      </c>
      <c r="G555" s="2" t="s">
        <v>328</v>
      </c>
      <c r="H555" s="2" t="s">
        <v>329</v>
      </c>
      <c r="I555" s="2" t="s">
        <v>1883</v>
      </c>
      <c r="J555" s="2" t="s">
        <v>1808</v>
      </c>
      <c r="K555" s="2" t="s">
        <v>445</v>
      </c>
      <c r="L555" s="3">
        <v>11.25</v>
      </c>
      <c r="M555" s="3">
        <v>11.81</v>
      </c>
      <c r="N555" s="3">
        <v>24.99</v>
      </c>
      <c r="O555" s="2" t="s">
        <v>95</v>
      </c>
      <c r="P555" s="2" t="s">
        <v>150</v>
      </c>
      <c r="Q555" s="2" t="s">
        <v>97</v>
      </c>
      <c r="R555" s="2" t="s">
        <v>98</v>
      </c>
      <c r="S555" s="2" t="s">
        <v>446</v>
      </c>
      <c r="T555" s="2" t="s">
        <v>98</v>
      </c>
      <c r="U555" s="2" t="s">
        <v>100</v>
      </c>
      <c r="V555" s="2" t="s">
        <v>334</v>
      </c>
      <c r="W555" s="2" t="s">
        <v>335</v>
      </c>
      <c r="X555" s="2" t="s">
        <v>98</v>
      </c>
      <c r="Y555" s="2" t="s">
        <v>104</v>
      </c>
      <c r="Z555" s="4">
        <v>151</v>
      </c>
      <c r="AA555" s="4">
        <f>=ROUNDDOWN(7.55,0)</f>
      </c>
      <c r="AB555" s="5">
        <v>20</v>
      </c>
      <c r="AC555" s="2" t="s">
        <v>309</v>
      </c>
      <c r="AD555" s="4">
        <v>424</v>
      </c>
      <c r="AE555" s="4">
        <v>424</v>
      </c>
      <c r="AF555" s="6">
        <v>65</v>
      </c>
      <c r="AG555" s="6"/>
      <c r="AH555" s="7">
        <v>1</v>
      </c>
      <c r="AI555" s="4">
        <v>2</v>
      </c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14</v>
      </c>
      <c r="AQ555" s="8">
        <v>164.5</v>
      </c>
      <c r="AR555" s="4">
        <v>20</v>
      </c>
      <c r="AS555" s="8">
        <v>190.4</v>
      </c>
      <c r="AT555" s="7">
        <v>-0.3</v>
      </c>
      <c r="AU555" s="7">
        <v>-0.136</v>
      </c>
      <c r="AV555" s="4">
        <v>14</v>
      </c>
      <c r="AW555" s="8">
        <v>164.5</v>
      </c>
      <c r="AX555" s="4">
        <v>20</v>
      </c>
      <c r="AY555" s="8">
        <v>190.4</v>
      </c>
      <c r="AZ555" s="7">
        <v>-0.3</v>
      </c>
      <c r="BA555" s="7">
        <v>-0.136</v>
      </c>
      <c r="BB555" s="7">
        <v>1</v>
      </c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0.1918</v>
      </c>
      <c r="BJ555" s="4">
        <v>318</v>
      </c>
      <c r="BK555" s="8">
        <v>3473.46</v>
      </c>
      <c r="BL555" s="2" t="s">
        <v>1886</v>
      </c>
      <c r="BM555" s="7">
        <v>0.044</v>
      </c>
      <c r="BN555" s="7">
        <v>0.0474</v>
      </c>
      <c r="BO555" s="4">
        <v>14</v>
      </c>
      <c r="BP555" s="8">
        <v>164.5</v>
      </c>
      <c r="BQ555" s="4">
        <v>20</v>
      </c>
      <c r="BR555" s="8">
        <v>190.4</v>
      </c>
      <c r="BS555" s="7">
        <v>-0.3</v>
      </c>
      <c r="BT555" s="7">
        <v>-0.136</v>
      </c>
      <c r="BU555" s="2" t="s">
        <v>107</v>
      </c>
      <c r="BV555" s="2" t="s">
        <v>108</v>
      </c>
      <c r="BW555" s="2" t="s">
        <v>244</v>
      </c>
      <c r="BX555" s="2" t="s">
        <v>1285</v>
      </c>
      <c r="BY555" s="2" t="s">
        <v>111</v>
      </c>
    </row>
    <row r="556">
      <c r="A556" s="2" t="s">
        <v>1887</v>
      </c>
      <c r="B556" s="2" t="s">
        <v>86</v>
      </c>
      <c r="C556" s="2" t="s">
        <v>87</v>
      </c>
      <c r="D556" s="2" t="s">
        <v>1786</v>
      </c>
      <c r="E556" s="2" t="s">
        <v>1786</v>
      </c>
      <c r="F556" s="2" t="s">
        <v>327</v>
      </c>
      <c r="G556" s="2" t="s">
        <v>328</v>
      </c>
      <c r="H556" s="2" t="s">
        <v>329</v>
      </c>
      <c r="I556" s="2" t="s">
        <v>1883</v>
      </c>
      <c r="J556" s="2" t="s">
        <v>1808</v>
      </c>
      <c r="K556" s="2" t="s">
        <v>468</v>
      </c>
      <c r="L556" s="3">
        <v>11.25</v>
      </c>
      <c r="M556" s="3">
        <v>11.81</v>
      </c>
      <c r="N556" s="3">
        <v>24.99</v>
      </c>
      <c r="O556" s="2" t="s">
        <v>95</v>
      </c>
      <c r="P556" s="2" t="s">
        <v>150</v>
      </c>
      <c r="Q556" s="2" t="s">
        <v>97</v>
      </c>
      <c r="R556" s="2" t="s">
        <v>98</v>
      </c>
      <c r="S556" s="2" t="s">
        <v>461</v>
      </c>
      <c r="T556" s="2" t="s">
        <v>98</v>
      </c>
      <c r="U556" s="2" t="s">
        <v>100</v>
      </c>
      <c r="V556" s="2" t="s">
        <v>334</v>
      </c>
      <c r="W556" s="2" t="s">
        <v>335</v>
      </c>
      <c r="X556" s="2" t="s">
        <v>98</v>
      </c>
      <c r="Y556" s="2" t="s">
        <v>104</v>
      </c>
      <c r="Z556" s="4">
        <v>267</v>
      </c>
      <c r="AA556" s="4">
        <f>=ROUNDDOWN(16.6875,0)</f>
      </c>
      <c r="AB556" s="5">
        <v>16</v>
      </c>
      <c r="AC556" s="2" t="s">
        <v>253</v>
      </c>
      <c r="AD556" s="4">
        <v>160</v>
      </c>
      <c r="AE556" s="4">
        <v>160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13</v>
      </c>
      <c r="AQ556" s="8">
        <v>152.75</v>
      </c>
      <c r="AR556" s="4">
        <v>14</v>
      </c>
      <c r="AS556" s="8">
        <v>133.28</v>
      </c>
      <c r="AT556" s="7">
        <v>-0.0714</v>
      </c>
      <c r="AU556" s="7">
        <v>0.1461</v>
      </c>
      <c r="AV556" s="4">
        <v>13</v>
      </c>
      <c r="AW556" s="8">
        <v>152.75</v>
      </c>
      <c r="AX556" s="4">
        <v>14</v>
      </c>
      <c r="AY556" s="8">
        <v>133.28</v>
      </c>
      <c r="AZ556" s="7">
        <v>-0.0714</v>
      </c>
      <c r="BA556" s="7">
        <v>0.1461</v>
      </c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0.1781</v>
      </c>
      <c r="BJ556" s="4">
        <v>277</v>
      </c>
      <c r="BK556" s="8">
        <v>3158.34</v>
      </c>
      <c r="BL556" s="2" t="s">
        <v>1542</v>
      </c>
      <c r="BM556" s="7">
        <v>0.0469</v>
      </c>
      <c r="BN556" s="7">
        <v>0.0484</v>
      </c>
      <c r="BO556" s="4">
        <v>13</v>
      </c>
      <c r="BP556" s="8">
        <v>152.75</v>
      </c>
      <c r="BQ556" s="4">
        <v>14</v>
      </c>
      <c r="BR556" s="8">
        <v>133.28</v>
      </c>
      <c r="BS556" s="7">
        <v>-0.0714</v>
      </c>
      <c r="BT556" s="7">
        <v>0.1461</v>
      </c>
      <c r="BU556" s="2" t="s">
        <v>107</v>
      </c>
      <c r="BV556" s="2" t="s">
        <v>108</v>
      </c>
      <c r="BW556" s="2" t="s">
        <v>244</v>
      </c>
      <c r="BX556" s="2" t="s">
        <v>357</v>
      </c>
      <c r="BY556" s="2" t="s">
        <v>111</v>
      </c>
    </row>
    <row r="557">
      <c r="A557" s="2" t="s">
        <v>1888</v>
      </c>
      <c r="B557" s="2" t="s">
        <v>86</v>
      </c>
      <c r="C557" s="2" t="s">
        <v>87</v>
      </c>
      <c r="D557" s="2" t="s">
        <v>1786</v>
      </c>
      <c r="E557" s="2" t="s">
        <v>1786</v>
      </c>
      <c r="F557" s="2" t="s">
        <v>327</v>
      </c>
      <c r="G557" s="2" t="s">
        <v>328</v>
      </c>
      <c r="H557" s="2" t="s">
        <v>329</v>
      </c>
      <c r="I557" s="2" t="s">
        <v>1883</v>
      </c>
      <c r="J557" s="2" t="s">
        <v>1808</v>
      </c>
      <c r="K557" s="2" t="s">
        <v>386</v>
      </c>
      <c r="L557" s="3">
        <v>11.25</v>
      </c>
      <c r="M557" s="3">
        <v>11.81</v>
      </c>
      <c r="N557" s="3">
        <v>24.99</v>
      </c>
      <c r="O557" s="2" t="s">
        <v>95</v>
      </c>
      <c r="P557" s="2" t="s">
        <v>150</v>
      </c>
      <c r="Q557" s="2" t="s">
        <v>97</v>
      </c>
      <c r="R557" s="2" t="s">
        <v>98</v>
      </c>
      <c r="S557" s="2" t="s">
        <v>387</v>
      </c>
      <c r="T557" s="2" t="s">
        <v>98</v>
      </c>
      <c r="U557" s="2" t="s">
        <v>100</v>
      </c>
      <c r="V557" s="2" t="s">
        <v>334</v>
      </c>
      <c r="W557" s="2" t="s">
        <v>335</v>
      </c>
      <c r="X557" s="2" t="s">
        <v>98</v>
      </c>
      <c r="Y557" s="2" t="s">
        <v>1809</v>
      </c>
      <c r="Z557" s="4">
        <v>259</v>
      </c>
      <c r="AA557" s="4">
        <f>=ROUNDDOWN(25.9,0)</f>
      </c>
      <c r="AB557" s="5">
        <v>10</v>
      </c>
      <c r="AC557" s="2" t="s">
        <v>250</v>
      </c>
      <c r="AD557" s="4">
        <v>128</v>
      </c>
      <c r="AE557" s="4">
        <v>308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9</v>
      </c>
      <c r="AQ557" s="8">
        <v>105.75</v>
      </c>
      <c r="AR557" s="4">
        <v>14</v>
      </c>
      <c r="AS557" s="8">
        <v>133.28</v>
      </c>
      <c r="AT557" s="7">
        <v>-0.3571</v>
      </c>
      <c r="AU557" s="7">
        <v>-0.2066</v>
      </c>
      <c r="AV557" s="4">
        <v>9</v>
      </c>
      <c r="AW557" s="8">
        <v>105.75</v>
      </c>
      <c r="AX557" s="4">
        <v>14</v>
      </c>
      <c r="AY557" s="8">
        <v>133.28</v>
      </c>
      <c r="AZ557" s="7">
        <v>-0.3571</v>
      </c>
      <c r="BA557" s="7">
        <v>-0.2066</v>
      </c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0.1233</v>
      </c>
      <c r="BJ557" s="4">
        <v>244</v>
      </c>
      <c r="BK557" s="8">
        <v>2796.44</v>
      </c>
      <c r="BL557" s="2" t="s">
        <v>377</v>
      </c>
      <c r="BM557" s="7">
        <v>0.0369</v>
      </c>
      <c r="BN557" s="7">
        <v>0.0378</v>
      </c>
      <c r="BO557" s="4">
        <v>9</v>
      </c>
      <c r="BP557" s="8">
        <v>105.75</v>
      </c>
      <c r="BQ557" s="4">
        <v>14</v>
      </c>
      <c r="BR557" s="8">
        <v>133.28</v>
      </c>
      <c r="BS557" s="7">
        <v>-0.3571</v>
      </c>
      <c r="BT557" s="7">
        <v>-0.2066</v>
      </c>
      <c r="BU557" s="2" t="s">
        <v>107</v>
      </c>
      <c r="BV557" s="2" t="s">
        <v>108</v>
      </c>
      <c r="BW557" s="2" t="s">
        <v>244</v>
      </c>
      <c r="BX557" s="2" t="s">
        <v>245</v>
      </c>
      <c r="BY557" s="2" t="s">
        <v>111</v>
      </c>
    </row>
    <row r="558">
      <c r="A558" s="2" t="s">
        <v>1889</v>
      </c>
      <c r="B558" s="2" t="s">
        <v>86</v>
      </c>
      <c r="C558" s="2" t="s">
        <v>87</v>
      </c>
      <c r="D558" s="2" t="s">
        <v>1786</v>
      </c>
      <c r="E558" s="2" t="s">
        <v>1786</v>
      </c>
      <c r="F558" s="2" t="s">
        <v>327</v>
      </c>
      <c r="G558" s="2" t="s">
        <v>328</v>
      </c>
      <c r="H558" s="2" t="s">
        <v>329</v>
      </c>
      <c r="I558" s="2" t="s">
        <v>1883</v>
      </c>
      <c r="J558" s="2" t="s">
        <v>1808</v>
      </c>
      <c r="K558" s="2" t="s">
        <v>419</v>
      </c>
      <c r="L558" s="3">
        <v>11.25</v>
      </c>
      <c r="M558" s="3">
        <v>11.81</v>
      </c>
      <c r="N558" s="3">
        <v>24.99</v>
      </c>
      <c r="O558" s="2" t="s">
        <v>95</v>
      </c>
      <c r="P558" s="2" t="s">
        <v>215</v>
      </c>
      <c r="Q558" s="2" t="s">
        <v>97</v>
      </c>
      <c r="R558" s="2" t="s">
        <v>98</v>
      </c>
      <c r="S558" s="2" t="s">
        <v>420</v>
      </c>
      <c r="T558" s="2" t="s">
        <v>98</v>
      </c>
      <c r="U558" s="2" t="s">
        <v>100</v>
      </c>
      <c r="V558" s="2" t="s">
        <v>334</v>
      </c>
      <c r="W558" s="2" t="s">
        <v>335</v>
      </c>
      <c r="X558" s="2" t="s">
        <v>98</v>
      </c>
      <c r="Y558" s="2" t="s">
        <v>104</v>
      </c>
      <c r="Z558" s="4">
        <v>289</v>
      </c>
      <c r="AA558" s="4">
        <f>=ROUNDDOWN(21.8939393939394,0)</f>
      </c>
      <c r="AB558" s="5">
        <v>13.2</v>
      </c>
      <c r="AC558" s="2" t="s">
        <v>98</v>
      </c>
      <c r="AD558" s="4"/>
      <c r="AE558" s="4"/>
      <c r="AF558" s="6">
        <v>65</v>
      </c>
      <c r="AG558" s="6"/>
      <c r="AH558" s="7">
        <v>1</v>
      </c>
      <c r="AI558" s="4">
        <v>1</v>
      </c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6</v>
      </c>
      <c r="AQ558" s="8">
        <v>70.5</v>
      </c>
      <c r="AR558" s="4">
        <v>24</v>
      </c>
      <c r="AS558" s="8">
        <v>228.48</v>
      </c>
      <c r="AT558" s="7">
        <v>-0.75</v>
      </c>
      <c r="AU558" s="7">
        <v>-0.6914</v>
      </c>
      <c r="AV558" s="4">
        <v>6</v>
      </c>
      <c r="AW558" s="8">
        <v>70.5</v>
      </c>
      <c r="AX558" s="4">
        <v>24</v>
      </c>
      <c r="AY558" s="8">
        <v>228.48</v>
      </c>
      <c r="AZ558" s="7">
        <v>-0.75</v>
      </c>
      <c r="BA558" s="7">
        <v>-0.6914</v>
      </c>
      <c r="BB558" s="7">
        <v>1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0.0822</v>
      </c>
      <c r="BJ558" s="4">
        <v>147</v>
      </c>
      <c r="BK558" s="8">
        <v>1665.65</v>
      </c>
      <c r="BL558" s="2" t="s">
        <v>1542</v>
      </c>
      <c r="BM558" s="7">
        <v>0.0408</v>
      </c>
      <c r="BN558" s="7">
        <v>0.0423</v>
      </c>
      <c r="BO558" s="4">
        <v>6</v>
      </c>
      <c r="BP558" s="8">
        <v>70.5</v>
      </c>
      <c r="BQ558" s="4">
        <v>24</v>
      </c>
      <c r="BR558" s="8">
        <v>228.48</v>
      </c>
      <c r="BS558" s="7">
        <v>-0.75</v>
      </c>
      <c r="BT558" s="7">
        <v>-0.6914</v>
      </c>
      <c r="BU558" s="2" t="s">
        <v>107</v>
      </c>
      <c r="BV558" s="2" t="s">
        <v>108</v>
      </c>
      <c r="BW558" s="2" t="s">
        <v>244</v>
      </c>
      <c r="BX558" s="2" t="s">
        <v>370</v>
      </c>
      <c r="BY558" s="2" t="s">
        <v>111</v>
      </c>
    </row>
    <row r="559">
      <c r="A559" s="2" t="s">
        <v>1890</v>
      </c>
      <c r="B559" s="2" t="s">
        <v>86</v>
      </c>
      <c r="C559" s="2" t="s">
        <v>87</v>
      </c>
      <c r="D559" s="2" t="s">
        <v>1786</v>
      </c>
      <c r="E559" s="2" t="s">
        <v>1786</v>
      </c>
      <c r="F559" s="2" t="s">
        <v>327</v>
      </c>
      <c r="G559" s="2" t="s">
        <v>328</v>
      </c>
      <c r="H559" s="2" t="s">
        <v>329</v>
      </c>
      <c r="I559" s="2" t="s">
        <v>1883</v>
      </c>
      <c r="J559" s="2" t="s">
        <v>1808</v>
      </c>
      <c r="K559" s="2" t="s">
        <v>407</v>
      </c>
      <c r="L559" s="3">
        <v>11.25</v>
      </c>
      <c r="M559" s="3">
        <v>11.81</v>
      </c>
      <c r="N559" s="3">
        <v>24.99</v>
      </c>
      <c r="O559" s="2" t="s">
        <v>95</v>
      </c>
      <c r="P559" s="2" t="s">
        <v>150</v>
      </c>
      <c r="Q559" s="2" t="s">
        <v>97</v>
      </c>
      <c r="R559" s="2" t="s">
        <v>98</v>
      </c>
      <c r="S559" s="2" t="s">
        <v>401</v>
      </c>
      <c r="T559" s="2" t="s">
        <v>98</v>
      </c>
      <c r="U559" s="2" t="s">
        <v>100</v>
      </c>
      <c r="V559" s="2" t="s">
        <v>334</v>
      </c>
      <c r="W559" s="2" t="s">
        <v>335</v>
      </c>
      <c r="X559" s="2" t="s">
        <v>98</v>
      </c>
      <c r="Y559" s="2" t="s">
        <v>104</v>
      </c>
      <c r="Z559" s="4">
        <v>364</v>
      </c>
      <c r="AA559" s="4">
        <f>=ROUNDDOWN(19.0575916230366,0)</f>
      </c>
      <c r="AB559" s="5">
        <v>19.1</v>
      </c>
      <c r="AC559" s="2" t="s">
        <v>388</v>
      </c>
      <c r="AD559" s="4">
        <v>312</v>
      </c>
      <c r="AE559" s="4">
        <v>312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6</v>
      </c>
      <c r="AQ559" s="8">
        <v>70.5</v>
      </c>
      <c r="AR559" s="4">
        <v>6</v>
      </c>
      <c r="AS559" s="8">
        <v>57.12</v>
      </c>
      <c r="AT559" s="7"/>
      <c r="AU559" s="7">
        <v>0.2342</v>
      </c>
      <c r="AV559" s="4">
        <v>6</v>
      </c>
      <c r="AW559" s="8">
        <v>70.5</v>
      </c>
      <c r="AX559" s="4">
        <v>6</v>
      </c>
      <c r="AY559" s="8">
        <v>57.12</v>
      </c>
      <c r="AZ559" s="7"/>
      <c r="BA559" s="7">
        <v>0.2342</v>
      </c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0.0822</v>
      </c>
      <c r="BJ559" s="4">
        <v>264</v>
      </c>
      <c r="BK559" s="8">
        <v>2944.53</v>
      </c>
      <c r="BL559" s="2" t="s">
        <v>377</v>
      </c>
      <c r="BM559" s="7">
        <v>0.0227</v>
      </c>
      <c r="BN559" s="7">
        <v>0.0239</v>
      </c>
      <c r="BO559" s="4">
        <v>6</v>
      </c>
      <c r="BP559" s="8">
        <v>70.5</v>
      </c>
      <c r="BQ559" s="4">
        <v>6</v>
      </c>
      <c r="BR559" s="8">
        <v>57.12</v>
      </c>
      <c r="BS559" s="7"/>
      <c r="BT559" s="7">
        <v>0.2342</v>
      </c>
      <c r="BU559" s="2" t="s">
        <v>107</v>
      </c>
      <c r="BV559" s="2" t="s">
        <v>108</v>
      </c>
      <c r="BW559" s="2" t="s">
        <v>244</v>
      </c>
      <c r="BX559" s="2" t="s">
        <v>340</v>
      </c>
      <c r="BY559" s="2" t="s">
        <v>111</v>
      </c>
    </row>
    <row r="560">
      <c r="A560" s="2" t="s">
        <v>1891</v>
      </c>
      <c r="B560" s="2" t="s">
        <v>86</v>
      </c>
      <c r="C560" s="2" t="s">
        <v>87</v>
      </c>
      <c r="D560" s="2" t="s">
        <v>1786</v>
      </c>
      <c r="E560" s="2" t="s">
        <v>1786</v>
      </c>
      <c r="F560" s="2" t="s">
        <v>327</v>
      </c>
      <c r="G560" s="2" t="s">
        <v>328</v>
      </c>
      <c r="H560" s="2" t="s">
        <v>329</v>
      </c>
      <c r="I560" s="2" t="s">
        <v>1883</v>
      </c>
      <c r="J560" s="2" t="s">
        <v>1808</v>
      </c>
      <c r="K560" s="2" t="s">
        <v>435</v>
      </c>
      <c r="L560" s="3">
        <v>11.25</v>
      </c>
      <c r="M560" s="3">
        <v>11.81</v>
      </c>
      <c r="N560" s="3">
        <v>24.99</v>
      </c>
      <c r="O560" s="2" t="s">
        <v>95</v>
      </c>
      <c r="P560" s="2" t="s">
        <v>215</v>
      </c>
      <c r="Q560" s="2" t="s">
        <v>97</v>
      </c>
      <c r="R560" s="2" t="s">
        <v>98</v>
      </c>
      <c r="S560" s="2" t="s">
        <v>432</v>
      </c>
      <c r="T560" s="2" t="s">
        <v>98</v>
      </c>
      <c r="U560" s="2" t="s">
        <v>100</v>
      </c>
      <c r="V560" s="2" t="s">
        <v>334</v>
      </c>
      <c r="W560" s="2" t="s">
        <v>335</v>
      </c>
      <c r="X560" s="2" t="s">
        <v>98</v>
      </c>
      <c r="Y560" s="2" t="s">
        <v>433</v>
      </c>
      <c r="Z560" s="4">
        <v>52</v>
      </c>
      <c r="AA560" s="4">
        <f>=ROUNDDOWN(9.12280701754386,0)</f>
      </c>
      <c r="AB560" s="5">
        <v>5.7</v>
      </c>
      <c r="AC560" s="2" t="s">
        <v>98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6</v>
      </c>
      <c r="AQ560" s="8">
        <v>70.5</v>
      </c>
      <c r="AR560" s="4">
        <v>10</v>
      </c>
      <c r="AS560" s="8">
        <v>95.2</v>
      </c>
      <c r="AT560" s="7">
        <v>-0.4</v>
      </c>
      <c r="AU560" s="7">
        <v>-0.2595</v>
      </c>
      <c r="AV560" s="4">
        <v>6</v>
      </c>
      <c r="AW560" s="8">
        <v>70.5</v>
      </c>
      <c r="AX560" s="4">
        <v>10</v>
      </c>
      <c r="AY560" s="8">
        <v>95.2</v>
      </c>
      <c r="AZ560" s="7">
        <v>-0.4</v>
      </c>
      <c r="BA560" s="7">
        <v>-0.2595</v>
      </c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0.0822</v>
      </c>
      <c r="BJ560" s="4">
        <v>117</v>
      </c>
      <c r="BK560" s="8">
        <v>1373.97</v>
      </c>
      <c r="BL560" s="2" t="s">
        <v>1884</v>
      </c>
      <c r="BM560" s="7">
        <v>0.0513</v>
      </c>
      <c r="BN560" s="7">
        <v>0.0513</v>
      </c>
      <c r="BO560" s="4">
        <v>6</v>
      </c>
      <c r="BP560" s="8">
        <v>70.5</v>
      </c>
      <c r="BQ560" s="4">
        <v>10</v>
      </c>
      <c r="BR560" s="8">
        <v>95.2</v>
      </c>
      <c r="BS560" s="7">
        <v>-0.4</v>
      </c>
      <c r="BT560" s="7">
        <v>-0.2595</v>
      </c>
      <c r="BU560" s="2" t="s">
        <v>107</v>
      </c>
      <c r="BV560" s="2" t="s">
        <v>108</v>
      </c>
      <c r="BW560" s="2" t="s">
        <v>244</v>
      </c>
      <c r="BX560" s="2" t="s">
        <v>360</v>
      </c>
      <c r="BY560" s="2" t="s">
        <v>111</v>
      </c>
    </row>
    <row r="561">
      <c r="A561" s="2" t="s">
        <v>1892</v>
      </c>
      <c r="B561" s="2" t="s">
        <v>86</v>
      </c>
      <c r="C561" s="2" t="s">
        <v>87</v>
      </c>
      <c r="D561" s="2" t="s">
        <v>1786</v>
      </c>
      <c r="E561" s="2" t="s">
        <v>1786</v>
      </c>
      <c r="F561" s="2" t="s">
        <v>327</v>
      </c>
      <c r="G561" s="2" t="s">
        <v>328</v>
      </c>
      <c r="H561" s="2" t="s">
        <v>329</v>
      </c>
      <c r="I561" s="2" t="s">
        <v>1883</v>
      </c>
      <c r="J561" s="2" t="s">
        <v>1808</v>
      </c>
      <c r="K561" s="2" t="s">
        <v>332</v>
      </c>
      <c r="L561" s="3">
        <v>11.25</v>
      </c>
      <c r="M561" s="3">
        <v>11.81</v>
      </c>
      <c r="N561" s="3">
        <v>24.99</v>
      </c>
      <c r="O561" s="2" t="s">
        <v>368</v>
      </c>
      <c r="P561" s="2" t="s">
        <v>215</v>
      </c>
      <c r="Q561" s="2" t="s">
        <v>97</v>
      </c>
      <c r="R561" s="2" t="s">
        <v>98</v>
      </c>
      <c r="S561" s="2" t="s">
        <v>333</v>
      </c>
      <c r="T561" s="2" t="s">
        <v>98</v>
      </c>
      <c r="U561" s="2" t="s">
        <v>100</v>
      </c>
      <c r="V561" s="2" t="s">
        <v>334</v>
      </c>
      <c r="W561" s="2" t="s">
        <v>335</v>
      </c>
      <c r="X561" s="2" t="s">
        <v>98</v>
      </c>
      <c r="Y561" s="2" t="s">
        <v>104</v>
      </c>
      <c r="Z561" s="4">
        <v>3</v>
      </c>
      <c r="AA561" s="4">
        <f>=ROUNDDOWN(3,0)</f>
      </c>
      <c r="AB561" s="5">
        <v>1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3</v>
      </c>
      <c r="AQ561" s="8">
        <v>35.25</v>
      </c>
      <c r="AR561" s="4">
        <v>14</v>
      </c>
      <c r="AS561" s="8">
        <v>133.28</v>
      </c>
      <c r="AT561" s="7">
        <v>-0.7857</v>
      </c>
      <c r="AU561" s="7">
        <v>-0.7355</v>
      </c>
      <c r="AV561" s="4">
        <v>3</v>
      </c>
      <c r="AW561" s="8">
        <v>35.25</v>
      </c>
      <c r="AX561" s="4">
        <v>14</v>
      </c>
      <c r="AY561" s="8">
        <v>133.28</v>
      </c>
      <c r="AZ561" s="7">
        <v>-0.7857</v>
      </c>
      <c r="BA561" s="7">
        <v>-0.7355</v>
      </c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0.0411</v>
      </c>
      <c r="BJ561" s="4">
        <v>124</v>
      </c>
      <c r="BK561" s="8">
        <v>1417.33</v>
      </c>
      <c r="BL561" s="2" t="s">
        <v>1893</v>
      </c>
      <c r="BM561" s="7">
        <v>0.0242</v>
      </c>
      <c r="BN561" s="7">
        <v>0.0249</v>
      </c>
      <c r="BO561" s="4">
        <v>3</v>
      </c>
      <c r="BP561" s="8">
        <v>35.25</v>
      </c>
      <c r="BQ561" s="4">
        <v>14</v>
      </c>
      <c r="BR561" s="8">
        <v>133.28</v>
      </c>
      <c r="BS561" s="7">
        <v>-0.7857</v>
      </c>
      <c r="BT561" s="7">
        <v>-0.7355</v>
      </c>
      <c r="BU561" s="2" t="s">
        <v>211</v>
      </c>
      <c r="BV561" s="2" t="s">
        <v>352</v>
      </c>
      <c r="BW561" s="2" t="s">
        <v>244</v>
      </c>
      <c r="BX561" s="2" t="s">
        <v>443</v>
      </c>
      <c r="BY561" s="2" t="s">
        <v>111</v>
      </c>
    </row>
    <row r="562">
      <c r="A562" s="2" t="s">
        <v>1894</v>
      </c>
      <c r="B562" s="2" t="s">
        <v>86</v>
      </c>
      <c r="C562" s="2" t="s">
        <v>87</v>
      </c>
      <c r="D562" s="2" t="s">
        <v>1786</v>
      </c>
      <c r="E562" s="2" t="s">
        <v>1786</v>
      </c>
      <c r="F562" s="2" t="s">
        <v>327</v>
      </c>
      <c r="G562" s="2" t="s">
        <v>328</v>
      </c>
      <c r="H562" s="2" t="s">
        <v>329</v>
      </c>
      <c r="I562" s="2" t="s">
        <v>1883</v>
      </c>
      <c r="J562" s="2" t="s">
        <v>1808</v>
      </c>
      <c r="K562" s="2" t="s">
        <v>349</v>
      </c>
      <c r="L562" s="3">
        <v>11.25</v>
      </c>
      <c r="M562" s="3">
        <v>11.81</v>
      </c>
      <c r="N562" s="3">
        <v>24.99</v>
      </c>
      <c r="O562" s="2" t="s">
        <v>95</v>
      </c>
      <c r="P562" s="2" t="s">
        <v>215</v>
      </c>
      <c r="Q562" s="2" t="s">
        <v>97</v>
      </c>
      <c r="R562" s="2" t="s">
        <v>98</v>
      </c>
      <c r="S562" s="2" t="s">
        <v>350</v>
      </c>
      <c r="T562" s="2" t="s">
        <v>98</v>
      </c>
      <c r="U562" s="2" t="s">
        <v>100</v>
      </c>
      <c r="V562" s="2" t="s">
        <v>334</v>
      </c>
      <c r="W562" s="2" t="s">
        <v>335</v>
      </c>
      <c r="X562" s="2" t="s">
        <v>98</v>
      </c>
      <c r="Y562" s="2" t="s">
        <v>104</v>
      </c>
      <c r="Z562" s="4">
        <v>268</v>
      </c>
      <c r="AA562" s="4">
        <f>=ROUNDDOWN(13.0097087378641,0)</f>
      </c>
      <c r="AB562" s="5">
        <v>20.6</v>
      </c>
      <c r="AC562" s="2" t="s">
        <v>98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>
        <v>3</v>
      </c>
      <c r="AS562" s="8">
        <v>28.56</v>
      </c>
      <c r="AT562" s="7">
        <v>-1</v>
      </c>
      <c r="AU562" s="7">
        <v>-1</v>
      </c>
      <c r="AV562" s="4"/>
      <c r="AW562" s="8"/>
      <c r="AX562" s="4">
        <v>3</v>
      </c>
      <c r="AY562" s="8">
        <v>28.56</v>
      </c>
      <c r="AZ562" s="7">
        <v>-1</v>
      </c>
      <c r="BA562" s="7">
        <v>-1</v>
      </c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>
        <v>132</v>
      </c>
      <c r="BK562" s="8">
        <v>1499.21</v>
      </c>
      <c r="BL562" s="2" t="s">
        <v>1559</v>
      </c>
      <c r="BM562" s="7"/>
      <c r="BN562" s="7"/>
      <c r="BO562" s="4"/>
      <c r="BP562" s="8"/>
      <c r="BQ562" s="4">
        <v>3</v>
      </c>
      <c r="BR562" s="8">
        <v>28.56</v>
      </c>
      <c r="BS562" s="7">
        <v>-1</v>
      </c>
      <c r="BT562" s="7">
        <v>-1</v>
      </c>
      <c r="BU562" s="2" t="s">
        <v>211</v>
      </c>
      <c r="BV562" s="2" t="s">
        <v>95</v>
      </c>
      <c r="BW562" s="2" t="s">
        <v>244</v>
      </c>
      <c r="BX562" s="2" t="s">
        <v>1285</v>
      </c>
      <c r="BY562" s="2" t="s">
        <v>111</v>
      </c>
    </row>
    <row r="563">
      <c r="A563" s="2" t="s">
        <v>1895</v>
      </c>
      <c r="B563" s="2" t="s">
        <v>86</v>
      </c>
      <c r="C563" s="2" t="s">
        <v>87</v>
      </c>
      <c r="D563" s="2" t="s">
        <v>1786</v>
      </c>
      <c r="E563" s="2" t="s">
        <v>1786</v>
      </c>
      <c r="F563" s="2" t="s">
        <v>516</v>
      </c>
      <c r="G563" s="2" t="s">
        <v>517</v>
      </c>
      <c r="H563" s="2" t="s">
        <v>518</v>
      </c>
      <c r="I563" s="2" t="s">
        <v>1896</v>
      </c>
      <c r="J563" s="2" t="s">
        <v>1808</v>
      </c>
      <c r="K563" s="2" t="s">
        <v>312</v>
      </c>
      <c r="L563" s="3">
        <v>10</v>
      </c>
      <c r="M563" s="3">
        <v>10.5</v>
      </c>
      <c r="N563" s="3">
        <v>24.99</v>
      </c>
      <c r="O563" s="2" t="s">
        <v>95</v>
      </c>
      <c r="P563" s="2" t="s">
        <v>150</v>
      </c>
      <c r="Q563" s="2" t="s">
        <v>97</v>
      </c>
      <c r="R563" s="2" t="s">
        <v>98</v>
      </c>
      <c r="S563" s="2" t="s">
        <v>548</v>
      </c>
      <c r="T563" s="2" t="s">
        <v>98</v>
      </c>
      <c r="U563" s="2" t="s">
        <v>98</v>
      </c>
      <c r="V563" s="2" t="s">
        <v>522</v>
      </c>
      <c r="W563" s="2" t="s">
        <v>102</v>
      </c>
      <c r="X563" s="2" t="s">
        <v>98</v>
      </c>
      <c r="Y563" s="2" t="s">
        <v>104</v>
      </c>
      <c r="Z563" s="4">
        <v>507</v>
      </c>
      <c r="AA563" s="4">
        <f>=ROUNDDOWN(10.14,0)</f>
      </c>
      <c r="AB563" s="5">
        <v>50</v>
      </c>
      <c r="AC563" s="2" t="s">
        <v>264</v>
      </c>
      <c r="AD563" s="4">
        <v>440</v>
      </c>
      <c r="AE563" s="4">
        <v>912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17</v>
      </c>
      <c r="AQ563" s="8">
        <v>195.5</v>
      </c>
      <c r="AR563" s="4">
        <v>70</v>
      </c>
      <c r="AS563" s="8">
        <v>625.1</v>
      </c>
      <c r="AT563" s="7">
        <v>-0.7571</v>
      </c>
      <c r="AU563" s="7">
        <v>-0.6873</v>
      </c>
      <c r="AV563" s="4">
        <v>17</v>
      </c>
      <c r="AW563" s="8">
        <v>195.5</v>
      </c>
      <c r="AX563" s="4">
        <v>70</v>
      </c>
      <c r="AY563" s="8">
        <v>625.1</v>
      </c>
      <c r="AZ563" s="7">
        <v>-0.7571</v>
      </c>
      <c r="BA563" s="7">
        <v>-0.6873</v>
      </c>
      <c r="BB563" s="7">
        <v>1</v>
      </c>
      <c r="BC563" s="4">
        <v>60</v>
      </c>
      <c r="BD563" s="8">
        <v>690</v>
      </c>
      <c r="BE563" s="4">
        <v>537</v>
      </c>
      <c r="BF563" s="8">
        <v>4839.07</v>
      </c>
      <c r="BG563" s="7">
        <v>-0.8883</v>
      </c>
      <c r="BH563" s="7">
        <v>-0.8574</v>
      </c>
      <c r="BI563" s="7">
        <v>0.2833</v>
      </c>
      <c r="BJ563" s="4">
        <v>773</v>
      </c>
      <c r="BK563" s="8">
        <v>7977.08</v>
      </c>
      <c r="BL563" s="2" t="s">
        <v>1476</v>
      </c>
      <c r="BM563" s="7">
        <v>0.022</v>
      </c>
      <c r="BN563" s="7">
        <v>0.0245</v>
      </c>
      <c r="BO563" s="4">
        <v>17</v>
      </c>
      <c r="BP563" s="8">
        <v>195.5</v>
      </c>
      <c r="BQ563" s="4">
        <v>70</v>
      </c>
      <c r="BR563" s="8">
        <v>625.1</v>
      </c>
      <c r="BS563" s="7">
        <v>-0.7571</v>
      </c>
      <c r="BT563" s="7">
        <v>-0.6873</v>
      </c>
      <c r="BU563" s="2" t="s">
        <v>107</v>
      </c>
      <c r="BV563" s="2" t="s">
        <v>108</v>
      </c>
      <c r="BW563" s="2" t="s">
        <v>524</v>
      </c>
      <c r="BX563" s="2" t="s">
        <v>1764</v>
      </c>
      <c r="BY563" s="2" t="s">
        <v>111</v>
      </c>
    </row>
    <row r="564">
      <c r="A564" s="2" t="s">
        <v>1897</v>
      </c>
      <c r="B564" s="2" t="s">
        <v>86</v>
      </c>
      <c r="C564" s="2" t="s">
        <v>87</v>
      </c>
      <c r="D564" s="2" t="s">
        <v>1786</v>
      </c>
      <c r="E564" s="2" t="s">
        <v>1786</v>
      </c>
      <c r="F564" s="2" t="s">
        <v>516</v>
      </c>
      <c r="G564" s="2" t="s">
        <v>517</v>
      </c>
      <c r="H564" s="2" t="s">
        <v>518</v>
      </c>
      <c r="I564" s="2" t="s">
        <v>1896</v>
      </c>
      <c r="J564" s="2" t="s">
        <v>1808</v>
      </c>
      <c r="K564" s="2" t="s">
        <v>323</v>
      </c>
      <c r="L564" s="3">
        <v>10</v>
      </c>
      <c r="M564" s="3">
        <v>10.5</v>
      </c>
      <c r="N564" s="3">
        <v>24.99</v>
      </c>
      <c r="O564" s="2" t="s">
        <v>95</v>
      </c>
      <c r="P564" s="2" t="s">
        <v>150</v>
      </c>
      <c r="Q564" s="2" t="s">
        <v>97</v>
      </c>
      <c r="R564" s="2" t="s">
        <v>98</v>
      </c>
      <c r="S564" s="2" t="s">
        <v>541</v>
      </c>
      <c r="T564" s="2" t="s">
        <v>98</v>
      </c>
      <c r="U564" s="2" t="s">
        <v>98</v>
      </c>
      <c r="V564" s="2" t="s">
        <v>522</v>
      </c>
      <c r="W564" s="2" t="s">
        <v>102</v>
      </c>
      <c r="X564" s="2" t="s">
        <v>98</v>
      </c>
      <c r="Y564" s="2" t="s">
        <v>104</v>
      </c>
      <c r="Z564" s="4">
        <v>458</v>
      </c>
      <c r="AA564" s="4">
        <f>=ROUNDDOWN(35.2307692307692,0)</f>
      </c>
      <c r="AB564" s="5">
        <v>13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10</v>
      </c>
      <c r="AQ564" s="8">
        <v>115</v>
      </c>
      <c r="AR564" s="4">
        <v>84</v>
      </c>
      <c r="AS564" s="8">
        <v>786.24</v>
      </c>
      <c r="AT564" s="7">
        <v>-0.881</v>
      </c>
      <c r="AU564" s="7">
        <v>-0.8537</v>
      </c>
      <c r="AV564" s="4">
        <v>10</v>
      </c>
      <c r="AW564" s="8">
        <v>115</v>
      </c>
      <c r="AX564" s="4">
        <v>84</v>
      </c>
      <c r="AY564" s="8">
        <v>786.24</v>
      </c>
      <c r="AZ564" s="7">
        <v>-0.881</v>
      </c>
      <c r="BA564" s="7">
        <v>-0.8537</v>
      </c>
      <c r="BB564" s="7">
        <v>1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0.1667</v>
      </c>
      <c r="BJ564" s="4">
        <v>301</v>
      </c>
      <c r="BK564" s="8">
        <v>3153.8</v>
      </c>
      <c r="BL564" s="2" t="s">
        <v>474</v>
      </c>
      <c r="BM564" s="7">
        <v>0.0332</v>
      </c>
      <c r="BN564" s="7">
        <v>0.0365</v>
      </c>
      <c r="BO564" s="4">
        <v>10</v>
      </c>
      <c r="BP564" s="8">
        <v>115</v>
      </c>
      <c r="BQ564" s="4">
        <v>84</v>
      </c>
      <c r="BR564" s="8">
        <v>786.24</v>
      </c>
      <c r="BS564" s="7">
        <v>-0.881</v>
      </c>
      <c r="BT564" s="7">
        <v>-0.8537</v>
      </c>
      <c r="BU564" s="2" t="s">
        <v>107</v>
      </c>
      <c r="BV564" s="2" t="s">
        <v>108</v>
      </c>
      <c r="BW564" s="2" t="s">
        <v>109</v>
      </c>
      <c r="BX564" s="2" t="s">
        <v>1898</v>
      </c>
      <c r="BY564" s="2" t="s">
        <v>111</v>
      </c>
    </row>
    <row r="565">
      <c r="A565" s="2" t="s">
        <v>1899</v>
      </c>
      <c r="B565" s="2" t="s">
        <v>86</v>
      </c>
      <c r="C565" s="2" t="s">
        <v>87</v>
      </c>
      <c r="D565" s="2" t="s">
        <v>1786</v>
      </c>
      <c r="E565" s="2" t="s">
        <v>1786</v>
      </c>
      <c r="F565" s="2" t="s">
        <v>516</v>
      </c>
      <c r="G565" s="2" t="s">
        <v>517</v>
      </c>
      <c r="H565" s="2" t="s">
        <v>518</v>
      </c>
      <c r="I565" s="2" t="s">
        <v>1900</v>
      </c>
      <c r="J565" s="2" t="s">
        <v>1808</v>
      </c>
      <c r="K565" s="2" t="s">
        <v>551</v>
      </c>
      <c r="L565" s="3">
        <v>10</v>
      </c>
      <c r="M565" s="3">
        <v>10.5</v>
      </c>
      <c r="N565" s="3">
        <v>24.99</v>
      </c>
      <c r="O565" s="2" t="s">
        <v>95</v>
      </c>
      <c r="P565" s="2" t="s">
        <v>150</v>
      </c>
      <c r="Q565" s="2" t="s">
        <v>97</v>
      </c>
      <c r="R565" s="2" t="s">
        <v>98</v>
      </c>
      <c r="S565" s="2" t="s">
        <v>552</v>
      </c>
      <c r="T565" s="2" t="s">
        <v>98</v>
      </c>
      <c r="U565" s="2" t="s">
        <v>98</v>
      </c>
      <c r="V565" s="2" t="s">
        <v>522</v>
      </c>
      <c r="W565" s="2" t="s">
        <v>102</v>
      </c>
      <c r="X565" s="2" t="s">
        <v>98</v>
      </c>
      <c r="Y565" s="2" t="s">
        <v>532</v>
      </c>
      <c r="Z565" s="4">
        <v>227</v>
      </c>
      <c r="AA565" s="4">
        <f>=ROUNDDOWN(9.08,0)</f>
      </c>
      <c r="AB565" s="5">
        <v>25</v>
      </c>
      <c r="AC565" s="2" t="s">
        <v>179</v>
      </c>
      <c r="AD565" s="4">
        <v>560</v>
      </c>
      <c r="AE565" s="4">
        <v>560</v>
      </c>
      <c r="AF565" s="6">
        <v>65</v>
      </c>
      <c r="AG565" s="6"/>
      <c r="AH565" s="7">
        <v>1</v>
      </c>
      <c r="AI565" s="4"/>
      <c r="AJ565" s="4">
        <f>=ROUNDDOWN({0},0)</f>
      </c>
      <c r="AK565" s="5">
        <v>0.2</v>
      </c>
      <c r="AL565" s="2" t="s">
        <v>98</v>
      </c>
      <c r="AM565" s="4"/>
      <c r="AN565" s="4"/>
      <c r="AO565" s="7">
        <v>0.6333</v>
      </c>
      <c r="AP565" s="4">
        <v>7</v>
      </c>
      <c r="AQ565" s="8">
        <v>80.5</v>
      </c>
      <c r="AR565" s="4">
        <v>20</v>
      </c>
      <c r="AS565" s="8">
        <v>178.6</v>
      </c>
      <c r="AT565" s="7">
        <v>-0.65</v>
      </c>
      <c r="AU565" s="7">
        <v>-0.5493</v>
      </c>
      <c r="AV565" s="4">
        <v>7</v>
      </c>
      <c r="AW565" s="8">
        <v>80.5</v>
      </c>
      <c r="AX565" s="4">
        <v>20</v>
      </c>
      <c r="AY565" s="8">
        <v>178.6</v>
      </c>
      <c r="AZ565" s="7">
        <v>-0.65</v>
      </c>
      <c r="BA565" s="7">
        <v>-0.5493</v>
      </c>
      <c r="BB565" s="7">
        <v>1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0.1167</v>
      </c>
      <c r="BJ565" s="4">
        <v>353</v>
      </c>
      <c r="BK565" s="8">
        <v>3590.32</v>
      </c>
      <c r="BL565" s="2" t="s">
        <v>1901</v>
      </c>
      <c r="BM565" s="7">
        <v>0.0198</v>
      </c>
      <c r="BN565" s="7">
        <v>0.0224</v>
      </c>
      <c r="BO565" s="4">
        <v>7</v>
      </c>
      <c r="BP565" s="8">
        <v>80.5</v>
      </c>
      <c r="BQ565" s="4">
        <v>20</v>
      </c>
      <c r="BR565" s="8">
        <v>178.6</v>
      </c>
      <c r="BS565" s="7">
        <v>-0.65</v>
      </c>
      <c r="BT565" s="7">
        <v>-0.5493</v>
      </c>
      <c r="BU565" s="2" t="s">
        <v>107</v>
      </c>
      <c r="BV565" s="2" t="s">
        <v>108</v>
      </c>
      <c r="BW565" s="2" t="s">
        <v>524</v>
      </c>
      <c r="BX565" s="2" t="s">
        <v>1902</v>
      </c>
      <c r="BY565" s="2" t="s">
        <v>111</v>
      </c>
    </row>
    <row r="566">
      <c r="A566" s="2" t="s">
        <v>1903</v>
      </c>
      <c r="B566" s="2" t="s">
        <v>86</v>
      </c>
      <c r="C566" s="2" t="s">
        <v>87</v>
      </c>
      <c r="D566" s="2" t="s">
        <v>1786</v>
      </c>
      <c r="E566" s="2" t="s">
        <v>1786</v>
      </c>
      <c r="F566" s="2" t="s">
        <v>516</v>
      </c>
      <c r="G566" s="2" t="s">
        <v>517</v>
      </c>
      <c r="H566" s="2" t="s">
        <v>518</v>
      </c>
      <c r="I566" s="2" t="s">
        <v>1896</v>
      </c>
      <c r="J566" s="2" t="s">
        <v>1808</v>
      </c>
      <c r="K566" s="2" t="s">
        <v>299</v>
      </c>
      <c r="L566" s="3">
        <v>10</v>
      </c>
      <c r="M566" s="3">
        <v>10.5</v>
      </c>
      <c r="N566" s="3">
        <v>24.99</v>
      </c>
      <c r="O566" s="2" t="s">
        <v>95</v>
      </c>
      <c r="P566" s="2" t="s">
        <v>150</v>
      </c>
      <c r="Q566" s="2" t="s">
        <v>97</v>
      </c>
      <c r="R566" s="2" t="s">
        <v>98</v>
      </c>
      <c r="S566" s="2" t="s">
        <v>527</v>
      </c>
      <c r="T566" s="2" t="s">
        <v>98</v>
      </c>
      <c r="U566" s="2" t="s">
        <v>98</v>
      </c>
      <c r="V566" s="2" t="s">
        <v>522</v>
      </c>
      <c r="W566" s="2" t="s">
        <v>102</v>
      </c>
      <c r="X566" s="2" t="s">
        <v>98</v>
      </c>
      <c r="Y566" s="2" t="s">
        <v>104</v>
      </c>
      <c r="Z566" s="4">
        <v>1042</v>
      </c>
      <c r="AA566" s="4">
        <f>=ROUNDDOWN(21.7083333333333,0)</f>
      </c>
      <c r="AB566" s="5">
        <v>48</v>
      </c>
      <c r="AC566" s="2" t="s">
        <v>388</v>
      </c>
      <c r="AD566" s="4">
        <v>192</v>
      </c>
      <c r="AE566" s="4">
        <v>764</v>
      </c>
      <c r="AF566" s="6">
        <v>65</v>
      </c>
      <c r="AG566" s="6"/>
      <c r="AH566" s="7">
        <v>1</v>
      </c>
      <c r="AI566" s="4">
        <v>1</v>
      </c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6</v>
      </c>
      <c r="AQ566" s="8">
        <v>69</v>
      </c>
      <c r="AR566" s="4">
        <v>100</v>
      </c>
      <c r="AS566" s="8">
        <v>893</v>
      </c>
      <c r="AT566" s="7">
        <v>-0.94</v>
      </c>
      <c r="AU566" s="7">
        <v>-0.9227</v>
      </c>
      <c r="AV566" s="4">
        <v>6</v>
      </c>
      <c r="AW566" s="8">
        <v>69</v>
      </c>
      <c r="AX566" s="4">
        <v>100</v>
      </c>
      <c r="AY566" s="8">
        <v>893</v>
      </c>
      <c r="AZ566" s="7">
        <v>-0.94</v>
      </c>
      <c r="BA566" s="7">
        <v>-0.9227</v>
      </c>
      <c r="BB566" s="7">
        <v>1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0.1</v>
      </c>
      <c r="BJ566" s="4">
        <v>669</v>
      </c>
      <c r="BK566" s="8">
        <v>6822.64</v>
      </c>
      <c r="BL566" s="2" t="s">
        <v>528</v>
      </c>
      <c r="BM566" s="7">
        <v>0.009</v>
      </c>
      <c r="BN566" s="7">
        <v>0.0101</v>
      </c>
      <c r="BO566" s="4">
        <v>6</v>
      </c>
      <c r="BP566" s="8">
        <v>69</v>
      </c>
      <c r="BQ566" s="4">
        <v>100</v>
      </c>
      <c r="BR566" s="8">
        <v>893</v>
      </c>
      <c r="BS566" s="7">
        <v>-0.94</v>
      </c>
      <c r="BT566" s="7">
        <v>-0.9227</v>
      </c>
      <c r="BU566" s="2" t="s">
        <v>107</v>
      </c>
      <c r="BV566" s="2" t="s">
        <v>108</v>
      </c>
      <c r="BW566" s="2" t="s">
        <v>524</v>
      </c>
      <c r="BX566" s="2" t="s">
        <v>1904</v>
      </c>
      <c r="BY566" s="2" t="s">
        <v>111</v>
      </c>
    </row>
    <row r="567">
      <c r="A567" s="2" t="s">
        <v>1905</v>
      </c>
      <c r="B567" s="2" t="s">
        <v>86</v>
      </c>
      <c r="C567" s="2" t="s">
        <v>87</v>
      </c>
      <c r="D567" s="2" t="s">
        <v>1786</v>
      </c>
      <c r="E567" s="2" t="s">
        <v>1786</v>
      </c>
      <c r="F567" s="2" t="s">
        <v>516</v>
      </c>
      <c r="G567" s="2" t="s">
        <v>517</v>
      </c>
      <c r="H567" s="2" t="s">
        <v>518</v>
      </c>
      <c r="I567" s="2" t="s">
        <v>1896</v>
      </c>
      <c r="J567" s="2" t="s">
        <v>1808</v>
      </c>
      <c r="K567" s="2" t="s">
        <v>557</v>
      </c>
      <c r="L567" s="3">
        <v>10</v>
      </c>
      <c r="M567" s="3">
        <v>10.5</v>
      </c>
      <c r="N567" s="3">
        <v>24.99</v>
      </c>
      <c r="O567" s="2" t="s">
        <v>95</v>
      </c>
      <c r="P567" s="2" t="s">
        <v>150</v>
      </c>
      <c r="Q567" s="2" t="s">
        <v>97</v>
      </c>
      <c r="R567" s="2" t="s">
        <v>98</v>
      </c>
      <c r="S567" s="2" t="s">
        <v>558</v>
      </c>
      <c r="T567" s="2" t="s">
        <v>98</v>
      </c>
      <c r="U567" s="2" t="s">
        <v>98</v>
      </c>
      <c r="V567" s="2" t="s">
        <v>522</v>
      </c>
      <c r="W567" s="2" t="s">
        <v>102</v>
      </c>
      <c r="X567" s="2" t="s">
        <v>98</v>
      </c>
      <c r="Y567" s="2" t="s">
        <v>104</v>
      </c>
      <c r="Z567" s="4">
        <v>482</v>
      </c>
      <c r="AA567" s="4">
        <f>=ROUNDDOWN(17.2142857142857,0)</f>
      </c>
      <c r="AB567" s="5">
        <v>28</v>
      </c>
      <c r="AC567" s="2" t="s">
        <v>264</v>
      </c>
      <c r="AD567" s="4">
        <v>216</v>
      </c>
      <c r="AE567" s="4">
        <v>628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5</v>
      </c>
      <c r="AQ567" s="8">
        <v>57.5</v>
      </c>
      <c r="AR567" s="4">
        <v>39</v>
      </c>
      <c r="AS567" s="8">
        <v>348.27</v>
      </c>
      <c r="AT567" s="7">
        <v>-0.8718</v>
      </c>
      <c r="AU567" s="7">
        <v>-0.8349</v>
      </c>
      <c r="AV567" s="4">
        <v>5</v>
      </c>
      <c r="AW567" s="8">
        <v>57.5</v>
      </c>
      <c r="AX567" s="4">
        <v>39</v>
      </c>
      <c r="AY567" s="8">
        <v>348.27</v>
      </c>
      <c r="AZ567" s="7">
        <v>-0.8718</v>
      </c>
      <c r="BA567" s="7">
        <v>-0.8349</v>
      </c>
      <c r="BB567" s="7">
        <v>1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0.0833</v>
      </c>
      <c r="BJ567" s="4">
        <v>438</v>
      </c>
      <c r="BK567" s="8">
        <v>4481.12</v>
      </c>
      <c r="BL567" s="2" t="s">
        <v>1906</v>
      </c>
      <c r="BM567" s="7">
        <v>0.0114</v>
      </c>
      <c r="BN567" s="7">
        <v>0.0128</v>
      </c>
      <c r="BO567" s="4">
        <v>5</v>
      </c>
      <c r="BP567" s="8">
        <v>57.5</v>
      </c>
      <c r="BQ567" s="4">
        <v>39</v>
      </c>
      <c r="BR567" s="8">
        <v>348.27</v>
      </c>
      <c r="BS567" s="7">
        <v>-0.8718</v>
      </c>
      <c r="BT567" s="7">
        <v>-0.8349</v>
      </c>
      <c r="BU567" s="2" t="s">
        <v>107</v>
      </c>
      <c r="BV567" s="2" t="s">
        <v>108</v>
      </c>
      <c r="BW567" s="2" t="s">
        <v>524</v>
      </c>
      <c r="BX567" s="2" t="s">
        <v>693</v>
      </c>
      <c r="BY567" s="2" t="s">
        <v>111</v>
      </c>
    </row>
    <row r="568">
      <c r="A568" s="2" t="s">
        <v>1907</v>
      </c>
      <c r="B568" s="2" t="s">
        <v>86</v>
      </c>
      <c r="C568" s="2" t="s">
        <v>87</v>
      </c>
      <c r="D568" s="2" t="s">
        <v>1786</v>
      </c>
      <c r="E568" s="2" t="s">
        <v>1786</v>
      </c>
      <c r="F568" s="2" t="s">
        <v>516</v>
      </c>
      <c r="G568" s="2" t="s">
        <v>517</v>
      </c>
      <c r="H568" s="2" t="s">
        <v>518</v>
      </c>
      <c r="I568" s="2" t="s">
        <v>1900</v>
      </c>
      <c r="J568" s="2" t="s">
        <v>1808</v>
      </c>
      <c r="K568" s="2" t="s">
        <v>455</v>
      </c>
      <c r="L568" s="3">
        <v>10</v>
      </c>
      <c r="M568" s="3">
        <v>10.5</v>
      </c>
      <c r="N568" s="3">
        <v>24.99</v>
      </c>
      <c r="O568" s="2" t="s">
        <v>95</v>
      </c>
      <c r="P568" s="2" t="s">
        <v>150</v>
      </c>
      <c r="Q568" s="2" t="s">
        <v>97</v>
      </c>
      <c r="R568" s="2" t="s">
        <v>98</v>
      </c>
      <c r="S568" s="2" t="s">
        <v>536</v>
      </c>
      <c r="T568" s="2" t="s">
        <v>98</v>
      </c>
      <c r="U568" s="2" t="s">
        <v>98</v>
      </c>
      <c r="V568" s="2" t="s">
        <v>522</v>
      </c>
      <c r="W568" s="2" t="s">
        <v>102</v>
      </c>
      <c r="X568" s="2" t="s">
        <v>98</v>
      </c>
      <c r="Y568" s="2" t="s">
        <v>537</v>
      </c>
      <c r="Z568" s="4">
        <v>194</v>
      </c>
      <c r="AA568" s="4">
        <f>=ROUNDDOWN(16.1666666666667,0)</f>
      </c>
      <c r="AB568" s="5">
        <v>12</v>
      </c>
      <c r="AC568" s="2" t="s">
        <v>278</v>
      </c>
      <c r="AD568" s="4">
        <v>300</v>
      </c>
      <c r="AE568" s="4">
        <v>300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5</v>
      </c>
      <c r="AQ568" s="8">
        <v>57.5</v>
      </c>
      <c r="AR568" s="4">
        <v>27</v>
      </c>
      <c r="AS568" s="8">
        <v>241.11</v>
      </c>
      <c r="AT568" s="7">
        <v>-0.8148</v>
      </c>
      <c r="AU568" s="7">
        <v>-0.7615</v>
      </c>
      <c r="AV568" s="4">
        <v>5</v>
      </c>
      <c r="AW568" s="8">
        <v>57.5</v>
      </c>
      <c r="AX568" s="4">
        <v>27</v>
      </c>
      <c r="AY568" s="8">
        <v>241.11</v>
      </c>
      <c r="AZ568" s="7">
        <v>-0.8148</v>
      </c>
      <c r="BA568" s="7">
        <v>-0.7615</v>
      </c>
      <c r="BB568" s="7">
        <v>1</v>
      </c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0.0833</v>
      </c>
      <c r="BJ568" s="4">
        <v>236</v>
      </c>
      <c r="BK568" s="8">
        <v>2361.12</v>
      </c>
      <c r="BL568" s="2" t="s">
        <v>1688</v>
      </c>
      <c r="BM568" s="7">
        <v>0.0212</v>
      </c>
      <c r="BN568" s="7">
        <v>0.0244</v>
      </c>
      <c r="BO568" s="4">
        <v>5</v>
      </c>
      <c r="BP568" s="8">
        <v>57.5</v>
      </c>
      <c r="BQ568" s="4">
        <v>27</v>
      </c>
      <c r="BR568" s="8">
        <v>241.11</v>
      </c>
      <c r="BS568" s="7">
        <v>-0.8148</v>
      </c>
      <c r="BT568" s="7">
        <v>-0.7615</v>
      </c>
      <c r="BU568" s="2" t="s">
        <v>107</v>
      </c>
      <c r="BV568" s="2" t="s">
        <v>108</v>
      </c>
      <c r="BW568" s="2" t="s">
        <v>524</v>
      </c>
      <c r="BX568" s="2" t="s">
        <v>1764</v>
      </c>
      <c r="BY568" s="2" t="s">
        <v>111</v>
      </c>
    </row>
    <row r="569">
      <c r="A569" s="2" t="s">
        <v>1908</v>
      </c>
      <c r="B569" s="2" t="s">
        <v>86</v>
      </c>
      <c r="C569" s="2" t="s">
        <v>87</v>
      </c>
      <c r="D569" s="2" t="s">
        <v>1786</v>
      </c>
      <c r="E569" s="2" t="s">
        <v>1786</v>
      </c>
      <c r="F569" s="2" t="s">
        <v>516</v>
      </c>
      <c r="G569" s="2" t="s">
        <v>517</v>
      </c>
      <c r="H569" s="2" t="s">
        <v>518</v>
      </c>
      <c r="I569" s="2" t="s">
        <v>1896</v>
      </c>
      <c r="J569" s="2" t="s">
        <v>1808</v>
      </c>
      <c r="K569" s="2" t="s">
        <v>464</v>
      </c>
      <c r="L569" s="3">
        <v>10</v>
      </c>
      <c r="M569" s="3">
        <v>10.5</v>
      </c>
      <c r="N569" s="3">
        <v>24.99</v>
      </c>
      <c r="O569" s="2" t="s">
        <v>95</v>
      </c>
      <c r="P569" s="2" t="s">
        <v>150</v>
      </c>
      <c r="Q569" s="2" t="s">
        <v>97</v>
      </c>
      <c r="R569" s="2" t="s">
        <v>98</v>
      </c>
      <c r="S569" s="2" t="s">
        <v>544</v>
      </c>
      <c r="T569" s="2" t="s">
        <v>98</v>
      </c>
      <c r="U569" s="2" t="s">
        <v>98</v>
      </c>
      <c r="V569" s="2" t="s">
        <v>522</v>
      </c>
      <c r="W569" s="2" t="s">
        <v>102</v>
      </c>
      <c r="X569" s="2" t="s">
        <v>98</v>
      </c>
      <c r="Y569" s="2" t="s">
        <v>104</v>
      </c>
      <c r="Z569" s="4">
        <v>400</v>
      </c>
      <c r="AA569" s="4">
        <f>=ROUNDDOWN(23.5294117647059,0)</f>
      </c>
      <c r="AB569" s="5">
        <v>17</v>
      </c>
      <c r="AC569" s="2" t="s">
        <v>272</v>
      </c>
      <c r="AD569" s="4">
        <v>300</v>
      </c>
      <c r="AE569" s="4">
        <v>300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4</v>
      </c>
      <c r="AQ569" s="8">
        <v>46</v>
      </c>
      <c r="AR569" s="4">
        <v>29</v>
      </c>
      <c r="AS569" s="8">
        <v>258.97</v>
      </c>
      <c r="AT569" s="7">
        <v>-0.8621</v>
      </c>
      <c r="AU569" s="7">
        <v>-0.8224</v>
      </c>
      <c r="AV569" s="4">
        <v>4</v>
      </c>
      <c r="AW569" s="8">
        <v>46</v>
      </c>
      <c r="AX569" s="4">
        <v>29</v>
      </c>
      <c r="AY569" s="8">
        <v>258.97</v>
      </c>
      <c r="AZ569" s="7">
        <v>-0.8621</v>
      </c>
      <c r="BA569" s="7">
        <v>-0.8224</v>
      </c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0.0667</v>
      </c>
      <c r="BJ569" s="4">
        <v>261</v>
      </c>
      <c r="BK569" s="8">
        <v>2634.69</v>
      </c>
      <c r="BL569" s="2" t="s">
        <v>1688</v>
      </c>
      <c r="BM569" s="7">
        <v>0.0153</v>
      </c>
      <c r="BN569" s="7">
        <v>0.0175</v>
      </c>
      <c r="BO569" s="4">
        <v>4</v>
      </c>
      <c r="BP569" s="8">
        <v>46</v>
      </c>
      <c r="BQ569" s="4">
        <v>29</v>
      </c>
      <c r="BR569" s="8">
        <v>258.97</v>
      </c>
      <c r="BS569" s="7">
        <v>-0.8621</v>
      </c>
      <c r="BT569" s="7">
        <v>-0.8224</v>
      </c>
      <c r="BU569" s="2" t="s">
        <v>107</v>
      </c>
      <c r="BV569" s="2" t="s">
        <v>108</v>
      </c>
      <c r="BW569" s="2" t="s">
        <v>524</v>
      </c>
      <c r="BX569" s="2" t="s">
        <v>1480</v>
      </c>
      <c r="BY569" s="2" t="s">
        <v>111</v>
      </c>
    </row>
    <row r="570">
      <c r="A570" s="2" t="s">
        <v>1909</v>
      </c>
      <c r="B570" s="2" t="s">
        <v>86</v>
      </c>
      <c r="C570" s="2" t="s">
        <v>87</v>
      </c>
      <c r="D570" s="2" t="s">
        <v>1786</v>
      </c>
      <c r="E570" s="2" t="s">
        <v>1786</v>
      </c>
      <c r="F570" s="2" t="s">
        <v>516</v>
      </c>
      <c r="G570" s="2" t="s">
        <v>517</v>
      </c>
      <c r="H570" s="2" t="s">
        <v>518</v>
      </c>
      <c r="I570" s="2" t="s">
        <v>1900</v>
      </c>
      <c r="J570" s="2" t="s">
        <v>1808</v>
      </c>
      <c r="K570" s="2" t="s">
        <v>530</v>
      </c>
      <c r="L570" s="3">
        <v>10</v>
      </c>
      <c r="M570" s="3">
        <v>10.5</v>
      </c>
      <c r="N570" s="3">
        <v>24.99</v>
      </c>
      <c r="O570" s="2" t="s">
        <v>95</v>
      </c>
      <c r="P570" s="2" t="s">
        <v>150</v>
      </c>
      <c r="Q570" s="2" t="s">
        <v>97</v>
      </c>
      <c r="R570" s="2" t="s">
        <v>98</v>
      </c>
      <c r="S570" s="2" t="s">
        <v>531</v>
      </c>
      <c r="T570" s="2" t="s">
        <v>98</v>
      </c>
      <c r="U570" s="2" t="s">
        <v>98</v>
      </c>
      <c r="V570" s="2" t="s">
        <v>522</v>
      </c>
      <c r="W570" s="2" t="s">
        <v>102</v>
      </c>
      <c r="X570" s="2" t="s">
        <v>98</v>
      </c>
      <c r="Y570" s="2" t="s">
        <v>532</v>
      </c>
      <c r="Z570" s="4">
        <v>340</v>
      </c>
      <c r="AA570" s="4">
        <f>=ROUNDDOWN(17.8947368421053,0)</f>
      </c>
      <c r="AB570" s="5">
        <v>19</v>
      </c>
      <c r="AC570" s="2" t="s">
        <v>158</v>
      </c>
      <c r="AD570" s="4">
        <v>200</v>
      </c>
      <c r="AE570" s="4">
        <v>200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3</v>
      </c>
      <c r="AQ570" s="8">
        <v>34.5</v>
      </c>
      <c r="AR570" s="4">
        <v>14</v>
      </c>
      <c r="AS570" s="8">
        <v>125.02</v>
      </c>
      <c r="AT570" s="7">
        <v>-0.7857</v>
      </c>
      <c r="AU570" s="7">
        <v>-0.724</v>
      </c>
      <c r="AV570" s="4">
        <v>3</v>
      </c>
      <c r="AW570" s="8">
        <v>34.5</v>
      </c>
      <c r="AX570" s="4">
        <v>14</v>
      </c>
      <c r="AY570" s="8">
        <v>125.02</v>
      </c>
      <c r="AZ570" s="7">
        <v>-0.7857</v>
      </c>
      <c r="BA570" s="7">
        <v>-0.724</v>
      </c>
      <c r="BB570" s="7">
        <v>1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0.05</v>
      </c>
      <c r="BJ570" s="4">
        <v>264</v>
      </c>
      <c r="BK570" s="8">
        <v>2728.54</v>
      </c>
      <c r="BL570" s="2" t="s">
        <v>1910</v>
      </c>
      <c r="BM570" s="7">
        <v>0.0114</v>
      </c>
      <c r="BN570" s="7">
        <v>0.0126</v>
      </c>
      <c r="BO570" s="4">
        <v>3</v>
      </c>
      <c r="BP570" s="8">
        <v>34.5</v>
      </c>
      <c r="BQ570" s="4">
        <v>14</v>
      </c>
      <c r="BR570" s="8">
        <v>125.02</v>
      </c>
      <c r="BS570" s="7">
        <v>-0.7857</v>
      </c>
      <c r="BT570" s="7">
        <v>-0.724</v>
      </c>
      <c r="BU570" s="2" t="s">
        <v>107</v>
      </c>
      <c r="BV570" s="2" t="s">
        <v>108</v>
      </c>
      <c r="BW570" s="2" t="s">
        <v>524</v>
      </c>
      <c r="BX570" s="2" t="s">
        <v>1911</v>
      </c>
      <c r="BY570" s="2" t="s">
        <v>111</v>
      </c>
    </row>
    <row r="571">
      <c r="A571" s="2" t="s">
        <v>1912</v>
      </c>
      <c r="B571" s="2" t="s">
        <v>86</v>
      </c>
      <c r="C571" s="2" t="s">
        <v>87</v>
      </c>
      <c r="D571" s="2" t="s">
        <v>1786</v>
      </c>
      <c r="E571" s="2" t="s">
        <v>1786</v>
      </c>
      <c r="F571" s="2" t="s">
        <v>516</v>
      </c>
      <c r="G571" s="2" t="s">
        <v>517</v>
      </c>
      <c r="H571" s="2" t="s">
        <v>518</v>
      </c>
      <c r="I571" s="2" t="s">
        <v>1900</v>
      </c>
      <c r="J571" s="2" t="s">
        <v>1808</v>
      </c>
      <c r="K571" s="2" t="s">
        <v>458</v>
      </c>
      <c r="L571" s="3">
        <v>10</v>
      </c>
      <c r="M571" s="3">
        <v>10.5</v>
      </c>
      <c r="N571" s="3">
        <v>24.99</v>
      </c>
      <c r="O571" s="2" t="s">
        <v>95</v>
      </c>
      <c r="P571" s="2" t="s">
        <v>150</v>
      </c>
      <c r="Q571" s="2" t="s">
        <v>97</v>
      </c>
      <c r="R571" s="2" t="s">
        <v>98</v>
      </c>
      <c r="S571" s="2" t="s">
        <v>554</v>
      </c>
      <c r="T571" s="2" t="s">
        <v>98</v>
      </c>
      <c r="U571" s="2" t="s">
        <v>98</v>
      </c>
      <c r="V571" s="2" t="s">
        <v>522</v>
      </c>
      <c r="W571" s="2" t="s">
        <v>102</v>
      </c>
      <c r="X571" s="2" t="s">
        <v>98</v>
      </c>
      <c r="Y571" s="2" t="s">
        <v>532</v>
      </c>
      <c r="Z571" s="4">
        <v>908</v>
      </c>
      <c r="AA571" s="4">
        <f>=ROUNDDOWN(10.5581395348837,0)</f>
      </c>
      <c r="AB571" s="5">
        <v>86</v>
      </c>
      <c r="AC571" s="2" t="s">
        <v>132</v>
      </c>
      <c r="AD571" s="4">
        <v>1160</v>
      </c>
      <c r="AE571" s="4">
        <v>1980</v>
      </c>
      <c r="AF571" s="6">
        <v>65</v>
      </c>
      <c r="AG571" s="6"/>
      <c r="AH571" s="7">
        <v>0.6778</v>
      </c>
      <c r="AI571" s="4"/>
      <c r="AJ571" s="4">
        <f>=ROUNDDOWN({0},0)</f>
      </c>
      <c r="AK571" s="5">
        <v>2.3</v>
      </c>
      <c r="AL571" s="2" t="s">
        <v>98</v>
      </c>
      <c r="AM571" s="4"/>
      <c r="AN571" s="4"/>
      <c r="AO571" s="7">
        <v>0.0667</v>
      </c>
      <c r="AP571" s="4">
        <v>3</v>
      </c>
      <c r="AQ571" s="8">
        <v>34.5</v>
      </c>
      <c r="AR571" s="4">
        <v>85</v>
      </c>
      <c r="AS571" s="8">
        <v>759.05</v>
      </c>
      <c r="AT571" s="7">
        <v>-0.9647</v>
      </c>
      <c r="AU571" s="7">
        <v>-0.9545</v>
      </c>
      <c r="AV571" s="4">
        <v>3</v>
      </c>
      <c r="AW571" s="8">
        <v>34.5</v>
      </c>
      <c r="AX571" s="4">
        <v>85</v>
      </c>
      <c r="AY571" s="8">
        <v>759.05</v>
      </c>
      <c r="AZ571" s="7">
        <v>-0.9647</v>
      </c>
      <c r="BA571" s="7">
        <v>-0.9545</v>
      </c>
      <c r="BB571" s="7">
        <v>1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0.05</v>
      </c>
      <c r="BJ571" s="4">
        <v>661</v>
      </c>
      <c r="BK571" s="8">
        <v>6645.7</v>
      </c>
      <c r="BL571" s="2" t="s">
        <v>1913</v>
      </c>
      <c r="BM571" s="7">
        <v>0.0045</v>
      </c>
      <c r="BN571" s="7">
        <v>0.0052</v>
      </c>
      <c r="BO571" s="4">
        <v>3</v>
      </c>
      <c r="BP571" s="8">
        <v>34.5</v>
      </c>
      <c r="BQ571" s="4">
        <v>85</v>
      </c>
      <c r="BR571" s="8">
        <v>759.05</v>
      </c>
      <c r="BS571" s="7">
        <v>-0.9647</v>
      </c>
      <c r="BT571" s="7">
        <v>-0.9545</v>
      </c>
      <c r="BU571" s="2" t="s">
        <v>107</v>
      </c>
      <c r="BV571" s="2" t="s">
        <v>108</v>
      </c>
      <c r="BW571" s="2" t="s">
        <v>524</v>
      </c>
      <c r="BX571" s="2" t="s">
        <v>1844</v>
      </c>
      <c r="BY571" s="2" t="s">
        <v>111</v>
      </c>
    </row>
    <row r="572">
      <c r="A572" s="2" t="s">
        <v>1914</v>
      </c>
      <c r="B572" s="2" t="s">
        <v>86</v>
      </c>
      <c r="C572" s="2" t="s">
        <v>87</v>
      </c>
      <c r="D572" s="2" t="s">
        <v>1786</v>
      </c>
      <c r="E572" s="2" t="s">
        <v>1786</v>
      </c>
      <c r="F572" s="2" t="s">
        <v>516</v>
      </c>
      <c r="G572" s="2" t="s">
        <v>517</v>
      </c>
      <c r="H572" s="2" t="s">
        <v>518</v>
      </c>
      <c r="I572" s="2" t="s">
        <v>1915</v>
      </c>
      <c r="J572" s="2" t="s">
        <v>1808</v>
      </c>
      <c r="K572" s="2" t="s">
        <v>290</v>
      </c>
      <c r="L572" s="3">
        <v>10</v>
      </c>
      <c r="M572" s="3">
        <v>10.5</v>
      </c>
      <c r="N572" s="3">
        <v>24.99</v>
      </c>
      <c r="O572" s="2" t="s">
        <v>368</v>
      </c>
      <c r="P572" s="2" t="s">
        <v>215</v>
      </c>
      <c r="Q572" s="2" t="s">
        <v>97</v>
      </c>
      <c r="R572" s="2" t="s">
        <v>98</v>
      </c>
      <c r="S572" s="2" t="s">
        <v>1916</v>
      </c>
      <c r="T572" s="2" t="s">
        <v>98</v>
      </c>
      <c r="U572" s="2" t="s">
        <v>100</v>
      </c>
      <c r="V572" s="2" t="s">
        <v>522</v>
      </c>
      <c r="W572" s="2" t="s">
        <v>102</v>
      </c>
      <c r="X572" s="2" t="s">
        <v>98</v>
      </c>
      <c r="Y572" s="2" t="s">
        <v>1917</v>
      </c>
      <c r="Z572" s="4"/>
      <c r="AA572" s="4">
        <f>=ROUNDDOWN({0},0)</f>
      </c>
      <c r="AB572" s="5"/>
      <c r="AC572" s="2" t="s">
        <v>98</v>
      </c>
      <c r="AD572" s="4"/>
      <c r="AE572" s="4"/>
      <c r="AF572" s="6"/>
      <c r="AG572" s="6"/>
      <c r="AH572" s="7">
        <v>0.4222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>
        <v>29</v>
      </c>
      <c r="AS572" s="8">
        <v>266.51</v>
      </c>
      <c r="AT572" s="7">
        <v>-1</v>
      </c>
      <c r="AU572" s="7">
        <v>-1</v>
      </c>
      <c r="AV572" s="4"/>
      <c r="AW572" s="8"/>
      <c r="AX572" s="4">
        <v>29</v>
      </c>
      <c r="AY572" s="8">
        <v>266.51</v>
      </c>
      <c r="AZ572" s="7">
        <v>-1</v>
      </c>
      <c r="BA572" s="7">
        <v>-1</v>
      </c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/>
      <c r="BK572" s="8"/>
      <c r="BL572" s="2" t="s">
        <v>1918</v>
      </c>
      <c r="BM572" s="7"/>
      <c r="BN572" s="7"/>
      <c r="BO572" s="4"/>
      <c r="BP572" s="8"/>
      <c r="BQ572" s="4">
        <v>29</v>
      </c>
      <c r="BR572" s="8">
        <v>266.51</v>
      </c>
      <c r="BS572" s="7">
        <v>-1</v>
      </c>
      <c r="BT572" s="7">
        <v>-1</v>
      </c>
      <c r="BU572" s="2" t="s">
        <v>211</v>
      </c>
      <c r="BV572" s="2" t="s">
        <v>352</v>
      </c>
      <c r="BW572" s="2" t="s">
        <v>570</v>
      </c>
      <c r="BX572" s="2" t="s">
        <v>901</v>
      </c>
      <c r="BY572" s="2" t="s">
        <v>111</v>
      </c>
    </row>
    <row r="573">
      <c r="A573" s="2" t="s">
        <v>1919</v>
      </c>
      <c r="B573" s="2" t="s">
        <v>86</v>
      </c>
      <c r="C573" s="2" t="s">
        <v>87</v>
      </c>
      <c r="D573" s="2" t="s">
        <v>1786</v>
      </c>
      <c r="E573" s="2" t="s">
        <v>1786</v>
      </c>
      <c r="F573" s="2" t="s">
        <v>516</v>
      </c>
      <c r="G573" s="2" t="s">
        <v>517</v>
      </c>
      <c r="H573" s="2" t="s">
        <v>518</v>
      </c>
      <c r="I573" s="2" t="s">
        <v>1896</v>
      </c>
      <c r="J573" s="2" t="s">
        <v>1808</v>
      </c>
      <c r="K573" s="2" t="s">
        <v>520</v>
      </c>
      <c r="L573" s="3">
        <v>10</v>
      </c>
      <c r="M573" s="3">
        <v>10.5</v>
      </c>
      <c r="N573" s="3">
        <v>24.99</v>
      </c>
      <c r="O573" s="2" t="s">
        <v>95</v>
      </c>
      <c r="P573" s="2" t="s">
        <v>150</v>
      </c>
      <c r="Q573" s="2" t="s">
        <v>97</v>
      </c>
      <c r="R573" s="2" t="s">
        <v>98</v>
      </c>
      <c r="S573" s="2" t="s">
        <v>521</v>
      </c>
      <c r="T573" s="2" t="s">
        <v>98</v>
      </c>
      <c r="U573" s="2" t="s">
        <v>98</v>
      </c>
      <c r="V573" s="2" t="s">
        <v>522</v>
      </c>
      <c r="W573" s="2" t="s">
        <v>102</v>
      </c>
      <c r="X573" s="2" t="s">
        <v>98</v>
      </c>
      <c r="Y573" s="2" t="s">
        <v>104</v>
      </c>
      <c r="Z573" s="4"/>
      <c r="AA573" s="4">
        <f>=ROUNDDOWN({0},0)</f>
      </c>
      <c r="AB573" s="5">
        <v>22</v>
      </c>
      <c r="AC573" s="2" t="s">
        <v>179</v>
      </c>
      <c r="AD573" s="4">
        <v>200</v>
      </c>
      <c r="AE573" s="4">
        <v>700</v>
      </c>
      <c r="AF573" s="6">
        <v>65</v>
      </c>
      <c r="AG573" s="6"/>
      <c r="AH573" s="7">
        <v>0.8889</v>
      </c>
      <c r="AI573" s="4">
        <v>1</v>
      </c>
      <c r="AJ573" s="4">
        <f>=ROUNDDOWN({0},0)</f>
      </c>
      <c r="AK573" s="5"/>
      <c r="AL573" s="2" t="s">
        <v>98</v>
      </c>
      <c r="AM573" s="4"/>
      <c r="AN573" s="4"/>
      <c r="AO573" s="7">
        <v>1</v>
      </c>
      <c r="AP573" s="4"/>
      <c r="AQ573" s="8"/>
      <c r="AR573" s="4">
        <v>40</v>
      </c>
      <c r="AS573" s="8">
        <v>357.2</v>
      </c>
      <c r="AT573" s="7">
        <v>-1</v>
      </c>
      <c r="AU573" s="7">
        <v>-1</v>
      </c>
      <c r="AV573" s="4"/>
      <c r="AW573" s="8"/>
      <c r="AX573" s="4">
        <v>40</v>
      </c>
      <c r="AY573" s="8">
        <v>357.2</v>
      </c>
      <c r="AZ573" s="7">
        <v>-1</v>
      </c>
      <c r="BA573" s="7">
        <v>-1</v>
      </c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202</v>
      </c>
      <c r="BK573" s="8">
        <v>2112.8</v>
      </c>
      <c r="BL573" s="2" t="s">
        <v>538</v>
      </c>
      <c r="BM573" s="7"/>
      <c r="BN573" s="7"/>
      <c r="BO573" s="4"/>
      <c r="BP573" s="8"/>
      <c r="BQ573" s="4">
        <v>40</v>
      </c>
      <c r="BR573" s="8">
        <v>357.2</v>
      </c>
      <c r="BS573" s="7">
        <v>-1</v>
      </c>
      <c r="BT573" s="7">
        <v>-1</v>
      </c>
      <c r="BU573" s="2" t="s">
        <v>107</v>
      </c>
      <c r="BV573" s="2" t="s">
        <v>108</v>
      </c>
      <c r="BW573" s="2" t="s">
        <v>524</v>
      </c>
      <c r="BX573" s="2" t="s">
        <v>1920</v>
      </c>
      <c r="BY573" s="2" t="s">
        <v>111</v>
      </c>
    </row>
    <row r="574">
      <c r="A574" s="2" t="s">
        <v>1921</v>
      </c>
      <c r="B574" s="2" t="s">
        <v>86</v>
      </c>
      <c r="C574" s="2" t="s">
        <v>87</v>
      </c>
      <c r="D574" s="2" t="s">
        <v>1786</v>
      </c>
      <c r="E574" s="2" t="s">
        <v>1786</v>
      </c>
      <c r="F574" s="2" t="s">
        <v>638</v>
      </c>
      <c r="G574" s="2" t="s">
        <v>639</v>
      </c>
      <c r="H574" s="2" t="s">
        <v>640</v>
      </c>
      <c r="I574" s="2" t="s">
        <v>1922</v>
      </c>
      <c r="J574" s="2" t="s">
        <v>1808</v>
      </c>
      <c r="K574" s="2" t="s">
        <v>520</v>
      </c>
      <c r="L574" s="3">
        <v>11.25</v>
      </c>
      <c r="M574" s="3">
        <v>11.81</v>
      </c>
      <c r="N574" s="3">
        <v>24.99</v>
      </c>
      <c r="O574" s="2" t="s">
        <v>95</v>
      </c>
      <c r="P574" s="2" t="s">
        <v>150</v>
      </c>
      <c r="Q574" s="2" t="s">
        <v>97</v>
      </c>
      <c r="R574" s="2" t="s">
        <v>98</v>
      </c>
      <c r="S574" s="2" t="s">
        <v>648</v>
      </c>
      <c r="T574" s="2" t="s">
        <v>98</v>
      </c>
      <c r="U574" s="2" t="s">
        <v>98</v>
      </c>
      <c r="V574" s="2" t="s">
        <v>522</v>
      </c>
      <c r="W574" s="2" t="s">
        <v>649</v>
      </c>
      <c r="X574" s="2" t="s">
        <v>98</v>
      </c>
      <c r="Y574" s="2" t="s">
        <v>104</v>
      </c>
      <c r="Z574" s="4">
        <v>236</v>
      </c>
      <c r="AA574" s="4">
        <f>=ROUNDDOWN(8.13793103448276,0)</f>
      </c>
      <c r="AB574" s="5">
        <v>29</v>
      </c>
      <c r="AC574" s="2" t="s">
        <v>144</v>
      </c>
      <c r="AD574" s="4">
        <v>360</v>
      </c>
      <c r="AE574" s="4">
        <v>616</v>
      </c>
      <c r="AF574" s="6">
        <v>64</v>
      </c>
      <c r="AG574" s="6"/>
      <c r="AH574" s="7">
        <v>0.9556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17</v>
      </c>
      <c r="AQ574" s="8">
        <v>212.5</v>
      </c>
      <c r="AR574" s="4">
        <v>30</v>
      </c>
      <c r="AS574" s="8">
        <v>297.9</v>
      </c>
      <c r="AT574" s="7">
        <v>-0.4333</v>
      </c>
      <c r="AU574" s="7">
        <v>-0.2867</v>
      </c>
      <c r="AV574" s="4">
        <v>17</v>
      </c>
      <c r="AW574" s="8">
        <v>212.5</v>
      </c>
      <c r="AX574" s="4">
        <v>30</v>
      </c>
      <c r="AY574" s="8">
        <v>297.9</v>
      </c>
      <c r="AZ574" s="7">
        <v>-0.4333</v>
      </c>
      <c r="BA574" s="7">
        <v>-0.2867</v>
      </c>
      <c r="BB574" s="7">
        <v>1</v>
      </c>
      <c r="BC574" s="4">
        <v>53</v>
      </c>
      <c r="BD574" s="8">
        <v>662.5</v>
      </c>
      <c r="BE574" s="4">
        <v>73</v>
      </c>
      <c r="BF574" s="8">
        <v>724.89</v>
      </c>
      <c r="BG574" s="7">
        <v>-0.274</v>
      </c>
      <c r="BH574" s="7">
        <v>-0.0861</v>
      </c>
      <c r="BI574" s="7">
        <v>0.3208</v>
      </c>
      <c r="BJ574" s="4">
        <v>165</v>
      </c>
      <c r="BK574" s="8">
        <v>1911.63</v>
      </c>
      <c r="BL574" s="2" t="s">
        <v>692</v>
      </c>
      <c r="BM574" s="7">
        <v>0.103</v>
      </c>
      <c r="BN574" s="7">
        <v>0.1112</v>
      </c>
      <c r="BO574" s="4">
        <v>17</v>
      </c>
      <c r="BP574" s="8">
        <v>212.5</v>
      </c>
      <c r="BQ574" s="4">
        <v>30</v>
      </c>
      <c r="BR574" s="8">
        <v>297.9</v>
      </c>
      <c r="BS574" s="7">
        <v>-0.4333</v>
      </c>
      <c r="BT574" s="7">
        <v>-0.2867</v>
      </c>
      <c r="BU574" s="2" t="s">
        <v>107</v>
      </c>
      <c r="BV574" s="2" t="s">
        <v>108</v>
      </c>
      <c r="BW574" s="2" t="s">
        <v>244</v>
      </c>
      <c r="BX574" s="2" t="s">
        <v>363</v>
      </c>
      <c r="BY574" s="2" t="s">
        <v>111</v>
      </c>
    </row>
    <row r="575">
      <c r="A575" s="2" t="s">
        <v>1923</v>
      </c>
      <c r="B575" s="2" t="s">
        <v>86</v>
      </c>
      <c r="C575" s="2" t="s">
        <v>87</v>
      </c>
      <c r="D575" s="2" t="s">
        <v>1786</v>
      </c>
      <c r="E575" s="2" t="s">
        <v>1786</v>
      </c>
      <c r="F575" s="2" t="s">
        <v>638</v>
      </c>
      <c r="G575" s="2" t="s">
        <v>639</v>
      </c>
      <c r="H575" s="2" t="s">
        <v>640</v>
      </c>
      <c r="I575" s="2" t="s">
        <v>1922</v>
      </c>
      <c r="J575" s="2" t="s">
        <v>1808</v>
      </c>
      <c r="K575" s="2" t="s">
        <v>323</v>
      </c>
      <c r="L575" s="3">
        <v>11.25</v>
      </c>
      <c r="M575" s="3">
        <v>11.81</v>
      </c>
      <c r="N575" s="3">
        <v>24.99</v>
      </c>
      <c r="O575" s="2" t="s">
        <v>95</v>
      </c>
      <c r="P575" s="2" t="s">
        <v>215</v>
      </c>
      <c r="Q575" s="2" t="s">
        <v>97</v>
      </c>
      <c r="R575" s="2" t="s">
        <v>98</v>
      </c>
      <c r="S575" s="2" t="s">
        <v>642</v>
      </c>
      <c r="T575" s="2" t="s">
        <v>98</v>
      </c>
      <c r="U575" s="2" t="s">
        <v>98</v>
      </c>
      <c r="V575" s="2" t="s">
        <v>522</v>
      </c>
      <c r="W575" s="2" t="s">
        <v>102</v>
      </c>
      <c r="X575" s="2" t="s">
        <v>98</v>
      </c>
      <c r="Y575" s="2" t="s">
        <v>1924</v>
      </c>
      <c r="Z575" s="4">
        <v>422</v>
      </c>
      <c r="AA575" s="4">
        <f>=ROUNDDOWN(22.2105263157895,0)</f>
      </c>
      <c r="AB575" s="5">
        <v>19</v>
      </c>
      <c r="AC575" s="2" t="s">
        <v>98</v>
      </c>
      <c r="AD575" s="4"/>
      <c r="AE575" s="4"/>
      <c r="AF575" s="6">
        <v>64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16</v>
      </c>
      <c r="AQ575" s="8">
        <v>200</v>
      </c>
      <c r="AR575" s="4">
        <v>12</v>
      </c>
      <c r="AS575" s="8">
        <v>119.16</v>
      </c>
      <c r="AT575" s="7">
        <v>0.3333</v>
      </c>
      <c r="AU575" s="7">
        <v>0.6784</v>
      </c>
      <c r="AV575" s="4">
        <v>16</v>
      </c>
      <c r="AW575" s="8">
        <v>200</v>
      </c>
      <c r="AX575" s="4">
        <v>12</v>
      </c>
      <c r="AY575" s="8">
        <v>119.16</v>
      </c>
      <c r="AZ575" s="7">
        <v>0.3333</v>
      </c>
      <c r="BA575" s="7">
        <v>0.6784</v>
      </c>
      <c r="BB575" s="7">
        <v>1</v>
      </c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0.3019</v>
      </c>
      <c r="BJ575" s="4">
        <v>123</v>
      </c>
      <c r="BK575" s="8">
        <v>1460.25</v>
      </c>
      <c r="BL575" s="2" t="s">
        <v>395</v>
      </c>
      <c r="BM575" s="7">
        <v>0.1301</v>
      </c>
      <c r="BN575" s="7">
        <v>0.137</v>
      </c>
      <c r="BO575" s="4">
        <v>16</v>
      </c>
      <c r="BP575" s="8">
        <v>200</v>
      </c>
      <c r="BQ575" s="4">
        <v>12</v>
      </c>
      <c r="BR575" s="8">
        <v>119.16</v>
      </c>
      <c r="BS575" s="7">
        <v>0.3333</v>
      </c>
      <c r="BT575" s="7">
        <v>0.6784</v>
      </c>
      <c r="BU575" s="2" t="s">
        <v>211</v>
      </c>
      <c r="BV575" s="2" t="s">
        <v>95</v>
      </c>
      <c r="BW575" s="2" t="s">
        <v>244</v>
      </c>
      <c r="BX575" s="2" t="s">
        <v>357</v>
      </c>
      <c r="BY575" s="2" t="s">
        <v>111</v>
      </c>
    </row>
    <row r="576">
      <c r="A576" s="2" t="s">
        <v>1925</v>
      </c>
      <c r="B576" s="2" t="s">
        <v>86</v>
      </c>
      <c r="C576" s="2" t="s">
        <v>87</v>
      </c>
      <c r="D576" s="2" t="s">
        <v>1786</v>
      </c>
      <c r="E576" s="2" t="s">
        <v>1786</v>
      </c>
      <c r="F576" s="2" t="s">
        <v>638</v>
      </c>
      <c r="G576" s="2" t="s">
        <v>639</v>
      </c>
      <c r="H576" s="2" t="s">
        <v>640</v>
      </c>
      <c r="I576" s="2" t="s">
        <v>1922</v>
      </c>
      <c r="J576" s="2" t="s">
        <v>1808</v>
      </c>
      <c r="K576" s="2" t="s">
        <v>464</v>
      </c>
      <c r="L576" s="3">
        <v>11.25</v>
      </c>
      <c r="M576" s="3">
        <v>11.81</v>
      </c>
      <c r="N576" s="3">
        <v>24.99</v>
      </c>
      <c r="O576" s="2" t="s">
        <v>95</v>
      </c>
      <c r="P576" s="2" t="s">
        <v>215</v>
      </c>
      <c r="Q576" s="2" t="s">
        <v>97</v>
      </c>
      <c r="R576" s="2" t="s">
        <v>98</v>
      </c>
      <c r="S576" s="2" t="s">
        <v>644</v>
      </c>
      <c r="T576" s="2" t="s">
        <v>98</v>
      </c>
      <c r="U576" s="2" t="s">
        <v>98</v>
      </c>
      <c r="V576" s="2" t="s">
        <v>522</v>
      </c>
      <c r="W576" s="2" t="s">
        <v>102</v>
      </c>
      <c r="X576" s="2" t="s">
        <v>98</v>
      </c>
      <c r="Y576" s="2" t="s">
        <v>104</v>
      </c>
      <c r="Z576" s="4">
        <v>515</v>
      </c>
      <c r="AA576" s="4">
        <f>=ROUNDDOWN(51.5,0)</f>
      </c>
      <c r="AB576" s="5">
        <v>10</v>
      </c>
      <c r="AC576" s="2" t="s">
        <v>98</v>
      </c>
      <c r="AD576" s="4"/>
      <c r="AE576" s="4"/>
      <c r="AF576" s="6">
        <v>64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11</v>
      </c>
      <c r="AQ576" s="8">
        <v>137.5</v>
      </c>
      <c r="AR576" s="4"/>
      <c r="AS576" s="8"/>
      <c r="AT576" s="7"/>
      <c r="AU576" s="7"/>
      <c r="AV576" s="4">
        <v>11</v>
      </c>
      <c r="AW576" s="8">
        <v>137.5</v>
      </c>
      <c r="AX576" s="4"/>
      <c r="AY576" s="8"/>
      <c r="AZ576" s="7"/>
      <c r="BA576" s="7"/>
      <c r="BB576" s="7">
        <v>1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0.2075</v>
      </c>
      <c r="BJ576" s="4">
        <v>144</v>
      </c>
      <c r="BK576" s="8">
        <v>1710.51</v>
      </c>
      <c r="BL576" s="2" t="s">
        <v>1810</v>
      </c>
      <c r="BM576" s="7">
        <v>0.0764</v>
      </c>
      <c r="BN576" s="7">
        <v>0.0804</v>
      </c>
      <c r="BO576" s="4">
        <v>11</v>
      </c>
      <c r="BP576" s="8">
        <v>137.5</v>
      </c>
      <c r="BQ576" s="4"/>
      <c r="BR576" s="8"/>
      <c r="BS576" s="7"/>
      <c r="BT576" s="7"/>
      <c r="BU576" s="2" t="s">
        <v>107</v>
      </c>
      <c r="BV576" s="2" t="s">
        <v>108</v>
      </c>
      <c r="BW576" s="2" t="s">
        <v>244</v>
      </c>
      <c r="BX576" s="2" t="s">
        <v>470</v>
      </c>
      <c r="BY576" s="2" t="s">
        <v>111</v>
      </c>
    </row>
    <row r="577">
      <c r="A577" s="2" t="s">
        <v>1926</v>
      </c>
      <c r="B577" s="2" t="s">
        <v>86</v>
      </c>
      <c r="C577" s="2" t="s">
        <v>87</v>
      </c>
      <c r="D577" s="2" t="s">
        <v>1786</v>
      </c>
      <c r="E577" s="2" t="s">
        <v>1786</v>
      </c>
      <c r="F577" s="2" t="s">
        <v>638</v>
      </c>
      <c r="G577" s="2" t="s">
        <v>639</v>
      </c>
      <c r="H577" s="2" t="s">
        <v>640</v>
      </c>
      <c r="I577" s="2" t="s">
        <v>1922</v>
      </c>
      <c r="J577" s="2" t="s">
        <v>1808</v>
      </c>
      <c r="K577" s="2" t="s">
        <v>299</v>
      </c>
      <c r="L577" s="3">
        <v>11.25</v>
      </c>
      <c r="M577" s="3">
        <v>11.81</v>
      </c>
      <c r="N577" s="3">
        <v>24.99</v>
      </c>
      <c r="O577" s="2" t="s">
        <v>95</v>
      </c>
      <c r="P577" s="2" t="s">
        <v>220</v>
      </c>
      <c r="Q577" s="2" t="s">
        <v>97</v>
      </c>
      <c r="R577" s="2" t="s">
        <v>98</v>
      </c>
      <c r="S577" s="2" t="s">
        <v>662</v>
      </c>
      <c r="T577" s="2" t="s">
        <v>98</v>
      </c>
      <c r="U577" s="2" t="s">
        <v>98</v>
      </c>
      <c r="V577" s="2" t="s">
        <v>522</v>
      </c>
      <c r="W577" s="2" t="s">
        <v>649</v>
      </c>
      <c r="X577" s="2" t="s">
        <v>98</v>
      </c>
      <c r="Y577" s="2" t="s">
        <v>232</v>
      </c>
      <c r="Z577" s="4">
        <v>241</v>
      </c>
      <c r="AA577" s="4">
        <f>=ROUNDDOWN(24.1,0)</f>
      </c>
      <c r="AB577" s="5">
        <v>10</v>
      </c>
      <c r="AC577" s="2" t="s">
        <v>388</v>
      </c>
      <c r="AD577" s="4">
        <v>96</v>
      </c>
      <c r="AE577" s="4">
        <v>96</v>
      </c>
      <c r="AF577" s="6">
        <v>64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6</v>
      </c>
      <c r="AQ577" s="8">
        <v>75</v>
      </c>
      <c r="AR577" s="4">
        <v>13</v>
      </c>
      <c r="AS577" s="8">
        <v>129.09</v>
      </c>
      <c r="AT577" s="7">
        <v>-0.5385</v>
      </c>
      <c r="AU577" s="7">
        <v>-0.419</v>
      </c>
      <c r="AV577" s="4">
        <v>6</v>
      </c>
      <c r="AW577" s="8">
        <v>75</v>
      </c>
      <c r="AX577" s="4">
        <v>13</v>
      </c>
      <c r="AY577" s="8">
        <v>129.09</v>
      </c>
      <c r="AZ577" s="7">
        <v>-0.5385</v>
      </c>
      <c r="BA577" s="7">
        <v>-0.419</v>
      </c>
      <c r="BB577" s="7">
        <v>1</v>
      </c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0.1132</v>
      </c>
      <c r="BJ577" s="4">
        <v>109</v>
      </c>
      <c r="BK577" s="8">
        <v>1265.94</v>
      </c>
      <c r="BL577" s="2" t="s">
        <v>1927</v>
      </c>
      <c r="BM577" s="7">
        <v>0.055</v>
      </c>
      <c r="BN577" s="7">
        <v>0.0592</v>
      </c>
      <c r="BO577" s="4">
        <v>6</v>
      </c>
      <c r="BP577" s="8">
        <v>75</v>
      </c>
      <c r="BQ577" s="4">
        <v>13</v>
      </c>
      <c r="BR577" s="8">
        <v>129.09</v>
      </c>
      <c r="BS577" s="7">
        <v>-0.5385</v>
      </c>
      <c r="BT577" s="7">
        <v>-0.419</v>
      </c>
      <c r="BU577" s="2" t="s">
        <v>211</v>
      </c>
      <c r="BV577" s="2" t="s">
        <v>95</v>
      </c>
      <c r="BW577" s="2" t="s">
        <v>244</v>
      </c>
      <c r="BX577" s="2" t="s">
        <v>384</v>
      </c>
      <c r="BY577" s="2" t="s">
        <v>111</v>
      </c>
    </row>
    <row r="578">
      <c r="A578" s="2" t="s">
        <v>1928</v>
      </c>
      <c r="B578" s="2" t="s">
        <v>86</v>
      </c>
      <c r="C578" s="2" t="s">
        <v>87</v>
      </c>
      <c r="D578" s="2" t="s">
        <v>1786</v>
      </c>
      <c r="E578" s="2" t="s">
        <v>1786</v>
      </c>
      <c r="F578" s="2" t="s">
        <v>638</v>
      </c>
      <c r="G578" s="2" t="s">
        <v>639</v>
      </c>
      <c r="H578" s="2" t="s">
        <v>640</v>
      </c>
      <c r="I578" s="2" t="s">
        <v>1922</v>
      </c>
      <c r="J578" s="2" t="s">
        <v>1808</v>
      </c>
      <c r="K578" s="2" t="s">
        <v>214</v>
      </c>
      <c r="L578" s="3">
        <v>11.25</v>
      </c>
      <c r="M578" s="3">
        <v>11.81</v>
      </c>
      <c r="N578" s="3">
        <v>24.99</v>
      </c>
      <c r="O578" s="2" t="s">
        <v>95</v>
      </c>
      <c r="P578" s="2" t="s">
        <v>215</v>
      </c>
      <c r="Q578" s="2" t="s">
        <v>97</v>
      </c>
      <c r="R578" s="2" t="s">
        <v>98</v>
      </c>
      <c r="S578" s="2" t="s">
        <v>653</v>
      </c>
      <c r="T578" s="2" t="s">
        <v>98</v>
      </c>
      <c r="U578" s="2" t="s">
        <v>100</v>
      </c>
      <c r="V578" s="2" t="s">
        <v>522</v>
      </c>
      <c r="W578" s="2" t="s">
        <v>649</v>
      </c>
      <c r="X578" s="2" t="s">
        <v>98</v>
      </c>
      <c r="Y578" s="2" t="s">
        <v>654</v>
      </c>
      <c r="Z578" s="4">
        <v>472</v>
      </c>
      <c r="AA578" s="4">
        <f>=ROUNDDOWN(51.8681318681319,0)</f>
      </c>
      <c r="AB578" s="5">
        <v>9.1</v>
      </c>
      <c r="AC578" s="2" t="s">
        <v>98</v>
      </c>
      <c r="AD578" s="4"/>
      <c r="AE578" s="4"/>
      <c r="AF578" s="6">
        <v>64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3</v>
      </c>
      <c r="AQ578" s="8">
        <v>37.5</v>
      </c>
      <c r="AR578" s="4">
        <v>18</v>
      </c>
      <c r="AS578" s="8">
        <v>178.74</v>
      </c>
      <c r="AT578" s="7">
        <v>-0.8333</v>
      </c>
      <c r="AU578" s="7">
        <v>-0.7902</v>
      </c>
      <c r="AV578" s="4">
        <v>3</v>
      </c>
      <c r="AW578" s="8">
        <v>37.5</v>
      </c>
      <c r="AX578" s="4">
        <v>18</v>
      </c>
      <c r="AY578" s="8">
        <v>178.74</v>
      </c>
      <c r="AZ578" s="7">
        <v>-0.8333</v>
      </c>
      <c r="BA578" s="7">
        <v>-0.7902</v>
      </c>
      <c r="BB578" s="7">
        <v>1</v>
      </c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0.0566</v>
      </c>
      <c r="BJ578" s="4">
        <v>73</v>
      </c>
      <c r="BK578" s="8">
        <v>852.6</v>
      </c>
      <c r="BL578" s="2" t="s">
        <v>1296</v>
      </c>
      <c r="BM578" s="7">
        <v>0.0411</v>
      </c>
      <c r="BN578" s="7">
        <v>0.044</v>
      </c>
      <c r="BO578" s="4">
        <v>3</v>
      </c>
      <c r="BP578" s="8">
        <v>37.5</v>
      </c>
      <c r="BQ578" s="4">
        <v>18</v>
      </c>
      <c r="BR578" s="8">
        <v>178.74</v>
      </c>
      <c r="BS578" s="7">
        <v>-0.8333</v>
      </c>
      <c r="BT578" s="7">
        <v>-0.7902</v>
      </c>
      <c r="BU578" s="2" t="s">
        <v>211</v>
      </c>
      <c r="BV578" s="2" t="s">
        <v>95</v>
      </c>
      <c r="BW578" s="2" t="s">
        <v>244</v>
      </c>
      <c r="BX578" s="2" t="s">
        <v>427</v>
      </c>
      <c r="BY578" s="2" t="s">
        <v>111</v>
      </c>
    </row>
    <row r="579">
      <c r="A579" s="2" t="s">
        <v>1929</v>
      </c>
      <c r="B579" s="2" t="s">
        <v>86</v>
      </c>
      <c r="C579" s="2" t="s">
        <v>87</v>
      </c>
      <c r="D579" s="2" t="s">
        <v>1786</v>
      </c>
      <c r="E579" s="2" t="s">
        <v>1786</v>
      </c>
      <c r="F579" s="2" t="s">
        <v>1401</v>
      </c>
      <c r="G579" s="2" t="s">
        <v>1402</v>
      </c>
      <c r="H579" s="2" t="s">
        <v>1216</v>
      </c>
      <c r="I579" s="2" t="s">
        <v>1930</v>
      </c>
      <c r="J579" s="2" t="s">
        <v>1808</v>
      </c>
      <c r="K579" s="2" t="s">
        <v>94</v>
      </c>
      <c r="L579" s="3">
        <v>10</v>
      </c>
      <c r="M579" s="3">
        <v>10.5</v>
      </c>
      <c r="N579" s="3">
        <v>24.99</v>
      </c>
      <c r="O579" s="2" t="s">
        <v>95</v>
      </c>
      <c r="P579" s="2" t="s">
        <v>150</v>
      </c>
      <c r="Q579" s="2" t="s">
        <v>97</v>
      </c>
      <c r="R579" s="2" t="s">
        <v>98</v>
      </c>
      <c r="S579" s="2" t="s">
        <v>1404</v>
      </c>
      <c r="T579" s="2" t="s">
        <v>98</v>
      </c>
      <c r="U579" s="2" t="s">
        <v>98</v>
      </c>
      <c r="V579" s="2" t="s">
        <v>617</v>
      </c>
      <c r="W579" s="2" t="s">
        <v>335</v>
      </c>
      <c r="X579" s="2" t="s">
        <v>98</v>
      </c>
      <c r="Y579" s="2" t="s">
        <v>104</v>
      </c>
      <c r="Z579" s="4">
        <v>406</v>
      </c>
      <c r="AA579" s="4">
        <f>=ROUNDDOWN(25.5345911949686,0)</f>
      </c>
      <c r="AB579" s="5">
        <v>15.9</v>
      </c>
      <c r="AC579" s="2" t="s">
        <v>309</v>
      </c>
      <c r="AD579" s="4">
        <v>256</v>
      </c>
      <c r="AE579" s="4">
        <v>256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32</v>
      </c>
      <c r="AQ579" s="8">
        <v>352</v>
      </c>
      <c r="AR579" s="4"/>
      <c r="AS579" s="8"/>
      <c r="AT579" s="7"/>
      <c r="AU579" s="7"/>
      <c r="AV579" s="4">
        <v>32</v>
      </c>
      <c r="AW579" s="8">
        <v>352</v>
      </c>
      <c r="AX579" s="4"/>
      <c r="AY579" s="8"/>
      <c r="AZ579" s="7"/>
      <c r="BA579" s="7"/>
      <c r="BB579" s="7">
        <v>1</v>
      </c>
      <c r="BC579" s="4">
        <v>32</v>
      </c>
      <c r="BD579" s="8">
        <v>352</v>
      </c>
      <c r="BE579" s="4"/>
      <c r="BF579" s="8"/>
      <c r="BG579" s="7"/>
      <c r="BH579" s="7"/>
      <c r="BI579" s="7">
        <v>1</v>
      </c>
      <c r="BJ579" s="4">
        <v>279</v>
      </c>
      <c r="BK579" s="8">
        <v>2856.53</v>
      </c>
      <c r="BL579" s="2" t="s">
        <v>609</v>
      </c>
      <c r="BM579" s="7">
        <v>0.1147</v>
      </c>
      <c r="BN579" s="7">
        <v>0.1232</v>
      </c>
      <c r="BO579" s="4">
        <v>32</v>
      </c>
      <c r="BP579" s="8">
        <v>352</v>
      </c>
      <c r="BQ579" s="4"/>
      <c r="BR579" s="8"/>
      <c r="BS579" s="7"/>
      <c r="BT579" s="7"/>
      <c r="BU579" s="2" t="s">
        <v>107</v>
      </c>
      <c r="BV579" s="2" t="s">
        <v>108</v>
      </c>
      <c r="BW579" s="2" t="s">
        <v>524</v>
      </c>
      <c r="BX579" s="2" t="s">
        <v>852</v>
      </c>
      <c r="BY579" s="2" t="s">
        <v>111</v>
      </c>
    </row>
    <row r="580">
      <c r="A580" s="2" t="s">
        <v>1931</v>
      </c>
      <c r="B580" s="2" t="s">
        <v>86</v>
      </c>
      <c r="C580" s="2" t="s">
        <v>87</v>
      </c>
      <c r="D580" s="2" t="s">
        <v>1786</v>
      </c>
      <c r="E580" s="2" t="s">
        <v>1786</v>
      </c>
      <c r="F580" s="2" t="s">
        <v>1932</v>
      </c>
      <c r="G580" s="2" t="s">
        <v>1933</v>
      </c>
      <c r="H580" s="2" t="s">
        <v>1934</v>
      </c>
      <c r="I580" s="2" t="s">
        <v>1935</v>
      </c>
      <c r="J580" s="2" t="s">
        <v>1808</v>
      </c>
      <c r="K580" s="2" t="s">
        <v>551</v>
      </c>
      <c r="L580" s="3">
        <v>10</v>
      </c>
      <c r="M580" s="3">
        <v>10.5</v>
      </c>
      <c r="N580" s="3">
        <v>24.99</v>
      </c>
      <c r="O580" s="2" t="s">
        <v>95</v>
      </c>
      <c r="P580" s="2" t="s">
        <v>150</v>
      </c>
      <c r="Q580" s="2" t="s">
        <v>97</v>
      </c>
      <c r="R580" s="2" t="s">
        <v>98</v>
      </c>
      <c r="S580" s="2" t="s">
        <v>1936</v>
      </c>
      <c r="T580" s="2" t="s">
        <v>98</v>
      </c>
      <c r="U580" s="2" t="s">
        <v>98</v>
      </c>
      <c r="V580" s="2" t="s">
        <v>762</v>
      </c>
      <c r="W580" s="2" t="s">
        <v>688</v>
      </c>
      <c r="X580" s="2" t="s">
        <v>98</v>
      </c>
      <c r="Y580" s="2" t="s">
        <v>1937</v>
      </c>
      <c r="Z580" s="4">
        <v>855</v>
      </c>
      <c r="AA580" s="4">
        <f>=ROUNDDOWN(21.375,0)</f>
      </c>
      <c r="AB580" s="5">
        <v>40</v>
      </c>
      <c r="AC580" s="2" t="s">
        <v>1938</v>
      </c>
      <c r="AD580" s="4">
        <v>560</v>
      </c>
      <c r="AE580" s="4">
        <v>560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15</v>
      </c>
      <c r="AQ580" s="8">
        <v>165</v>
      </c>
      <c r="AR580" s="4">
        <v>100</v>
      </c>
      <c r="AS580" s="8">
        <v>893</v>
      </c>
      <c r="AT580" s="7">
        <v>-0.85</v>
      </c>
      <c r="AU580" s="7">
        <v>-0.8152</v>
      </c>
      <c r="AV580" s="4">
        <v>15</v>
      </c>
      <c r="AW580" s="8">
        <v>165</v>
      </c>
      <c r="AX580" s="4">
        <v>100</v>
      </c>
      <c r="AY580" s="8">
        <v>893</v>
      </c>
      <c r="AZ580" s="7">
        <v>-0.85</v>
      </c>
      <c r="BA580" s="7">
        <v>-0.8152</v>
      </c>
      <c r="BB580" s="7">
        <v>1</v>
      </c>
      <c r="BC580" s="4">
        <v>15</v>
      </c>
      <c r="BD580" s="8">
        <v>165</v>
      </c>
      <c r="BE580" s="4">
        <v>100</v>
      </c>
      <c r="BF580" s="8">
        <v>893</v>
      </c>
      <c r="BG580" s="7">
        <v>-0.85</v>
      </c>
      <c r="BH580" s="7">
        <v>-0.8152</v>
      </c>
      <c r="BI580" s="7">
        <v>1</v>
      </c>
      <c r="BJ580" s="4">
        <v>633</v>
      </c>
      <c r="BK580" s="8">
        <v>6651.14</v>
      </c>
      <c r="BL580" s="2" t="s">
        <v>538</v>
      </c>
      <c r="BM580" s="7">
        <v>0.0237</v>
      </c>
      <c r="BN580" s="7">
        <v>0.0248</v>
      </c>
      <c r="BO580" s="4">
        <v>15</v>
      </c>
      <c r="BP580" s="8">
        <v>165</v>
      </c>
      <c r="BQ580" s="4">
        <v>100</v>
      </c>
      <c r="BR580" s="8">
        <v>893</v>
      </c>
      <c r="BS580" s="7">
        <v>-0.85</v>
      </c>
      <c r="BT580" s="7">
        <v>-0.8152</v>
      </c>
      <c r="BU580" s="2" t="s">
        <v>211</v>
      </c>
      <c r="BV580" s="2" t="s">
        <v>95</v>
      </c>
      <c r="BW580" s="2" t="s">
        <v>524</v>
      </c>
      <c r="BX580" s="2" t="s">
        <v>659</v>
      </c>
      <c r="BY580" s="2" t="s">
        <v>111</v>
      </c>
    </row>
    <row r="581">
      <c r="A581" s="2" t="s">
        <v>1939</v>
      </c>
      <c r="B581" s="2" t="s">
        <v>86</v>
      </c>
      <c r="C581" s="2" t="s">
        <v>87</v>
      </c>
      <c r="D581" s="2" t="s">
        <v>1786</v>
      </c>
      <c r="E581" s="2" t="s">
        <v>1786</v>
      </c>
      <c r="F581" s="2" t="s">
        <v>683</v>
      </c>
      <c r="G581" s="2" t="s">
        <v>684</v>
      </c>
      <c r="H581" s="2" t="s">
        <v>685</v>
      </c>
      <c r="I581" s="2" t="s">
        <v>1940</v>
      </c>
      <c r="J581" s="2" t="s">
        <v>1808</v>
      </c>
      <c r="K581" s="2" t="s">
        <v>94</v>
      </c>
      <c r="L581" s="3">
        <v>12.42</v>
      </c>
      <c r="M581" s="3">
        <v>13.04</v>
      </c>
      <c r="N581" s="3">
        <v>26.99</v>
      </c>
      <c r="O581" s="2" t="s">
        <v>95</v>
      </c>
      <c r="P581" s="2" t="s">
        <v>129</v>
      </c>
      <c r="Q581" s="2" t="s">
        <v>97</v>
      </c>
      <c r="R581" s="2" t="s">
        <v>98</v>
      </c>
      <c r="S581" s="2" t="s">
        <v>1941</v>
      </c>
      <c r="T581" s="2" t="s">
        <v>98</v>
      </c>
      <c r="U581" s="2" t="s">
        <v>98</v>
      </c>
      <c r="V581" s="2" t="s">
        <v>101</v>
      </c>
      <c r="W581" s="2" t="s">
        <v>688</v>
      </c>
      <c r="X581" s="2" t="s">
        <v>98</v>
      </c>
      <c r="Y581" s="2" t="s">
        <v>1942</v>
      </c>
      <c r="Z581" s="4">
        <v>715</v>
      </c>
      <c r="AA581" s="4">
        <f>=ROUNDDOWN(17.4390243902439,0)</f>
      </c>
      <c r="AB581" s="5">
        <v>41</v>
      </c>
      <c r="AC581" s="2" t="s">
        <v>309</v>
      </c>
      <c r="AD581" s="4">
        <v>784</v>
      </c>
      <c r="AE581" s="4">
        <v>784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6</v>
      </c>
      <c r="AQ581" s="8">
        <v>74.4</v>
      </c>
      <c r="AR581" s="4"/>
      <c r="AS581" s="8"/>
      <c r="AT581" s="7"/>
      <c r="AU581" s="7"/>
      <c r="AV581" s="4">
        <v>6</v>
      </c>
      <c r="AW581" s="8">
        <v>74.4</v>
      </c>
      <c r="AX581" s="4"/>
      <c r="AY581" s="8"/>
      <c r="AZ581" s="7"/>
      <c r="BA581" s="7"/>
      <c r="BB581" s="7">
        <v>1</v>
      </c>
      <c r="BC581" s="4">
        <v>6</v>
      </c>
      <c r="BD581" s="8">
        <v>74.4</v>
      </c>
      <c r="BE581" s="4"/>
      <c r="BF581" s="8"/>
      <c r="BG581" s="7"/>
      <c r="BH581" s="7"/>
      <c r="BI581" s="7">
        <v>1</v>
      </c>
      <c r="BJ581" s="4">
        <v>553</v>
      </c>
      <c r="BK581" s="8">
        <v>7310.71</v>
      </c>
      <c r="BL581" s="2" t="s">
        <v>1943</v>
      </c>
      <c r="BM581" s="7">
        <v>0.0108</v>
      </c>
      <c r="BN581" s="7">
        <v>0.0102</v>
      </c>
      <c r="BO581" s="4">
        <v>6</v>
      </c>
      <c r="BP581" s="8">
        <v>74.4</v>
      </c>
      <c r="BQ581" s="4"/>
      <c r="BR581" s="8"/>
      <c r="BS581" s="7"/>
      <c r="BT581" s="7"/>
      <c r="BU581" s="2" t="s">
        <v>211</v>
      </c>
      <c r="BV581" s="2" t="s">
        <v>95</v>
      </c>
      <c r="BW581" s="2" t="s">
        <v>524</v>
      </c>
      <c r="BX581" s="2" t="s">
        <v>1944</v>
      </c>
      <c r="BY581" s="2" t="s">
        <v>111</v>
      </c>
    </row>
    <row r="582">
      <c r="A582" s="2" t="s">
        <v>1945</v>
      </c>
      <c r="B582" s="2" t="s">
        <v>86</v>
      </c>
      <c r="C582" s="2" t="s">
        <v>87</v>
      </c>
      <c r="D582" s="2" t="s">
        <v>1786</v>
      </c>
      <c r="E582" s="2" t="s">
        <v>1786</v>
      </c>
      <c r="F582" s="2" t="s">
        <v>1946</v>
      </c>
      <c r="G582" s="2" t="s">
        <v>1947</v>
      </c>
      <c r="H582" s="2" t="s">
        <v>1948</v>
      </c>
      <c r="I582" s="2" t="s">
        <v>1949</v>
      </c>
      <c r="J582" s="2" t="s">
        <v>1808</v>
      </c>
      <c r="K582" s="2" t="s">
        <v>299</v>
      </c>
      <c r="L582" s="3">
        <v>9.5</v>
      </c>
      <c r="M582" s="3">
        <v>9.98</v>
      </c>
      <c r="N582" s="3">
        <v>24.99</v>
      </c>
      <c r="O582" s="2" t="s">
        <v>95</v>
      </c>
      <c r="P582" s="2" t="s">
        <v>150</v>
      </c>
      <c r="Q582" s="2" t="s">
        <v>97</v>
      </c>
      <c r="R582" s="2" t="s">
        <v>98</v>
      </c>
      <c r="S582" s="2" t="s">
        <v>1950</v>
      </c>
      <c r="T582" s="2" t="s">
        <v>98</v>
      </c>
      <c r="U582" s="2" t="s">
        <v>98</v>
      </c>
      <c r="V582" s="2" t="s">
        <v>1249</v>
      </c>
      <c r="W582" s="2" t="s">
        <v>1249</v>
      </c>
      <c r="X582" s="2" t="s">
        <v>98</v>
      </c>
      <c r="Y582" s="2" t="s">
        <v>1951</v>
      </c>
      <c r="Z582" s="4">
        <v>2105</v>
      </c>
      <c r="AA582" s="4">
        <f>=ROUNDDOWN(58.4722222222222,0)</f>
      </c>
      <c r="AB582" s="5">
        <v>36</v>
      </c>
      <c r="AC582" s="2" t="s">
        <v>98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5</v>
      </c>
      <c r="AQ582" s="8">
        <v>53.75</v>
      </c>
      <c r="AR582" s="4">
        <v>71</v>
      </c>
      <c r="AS582" s="8">
        <v>619.83</v>
      </c>
      <c r="AT582" s="7">
        <v>-0.9296</v>
      </c>
      <c r="AU582" s="7">
        <v>-0.9133</v>
      </c>
      <c r="AV582" s="4">
        <v>5</v>
      </c>
      <c r="AW582" s="8">
        <v>53.75</v>
      </c>
      <c r="AX582" s="4">
        <v>71</v>
      </c>
      <c r="AY582" s="8">
        <v>619.83</v>
      </c>
      <c r="AZ582" s="7">
        <v>-0.9296</v>
      </c>
      <c r="BA582" s="7">
        <v>-0.9133</v>
      </c>
      <c r="BB582" s="7">
        <v>1</v>
      </c>
      <c r="BC582" s="4">
        <v>5</v>
      </c>
      <c r="BD582" s="8">
        <v>53.75</v>
      </c>
      <c r="BE582" s="4">
        <v>71</v>
      </c>
      <c r="BF582" s="8">
        <v>619.83</v>
      </c>
      <c r="BG582" s="7">
        <v>-0.9296</v>
      </c>
      <c r="BH582" s="7">
        <v>-0.9133</v>
      </c>
      <c r="BI582" s="7">
        <v>1</v>
      </c>
      <c r="BJ582" s="4">
        <v>561</v>
      </c>
      <c r="BK582" s="8">
        <v>5114.03</v>
      </c>
      <c r="BL582" s="2" t="s">
        <v>392</v>
      </c>
      <c r="BM582" s="7">
        <v>0.0089</v>
      </c>
      <c r="BN582" s="7">
        <v>0.0105</v>
      </c>
      <c r="BO582" s="4">
        <v>5</v>
      </c>
      <c r="BP582" s="8">
        <v>53.75</v>
      </c>
      <c r="BQ582" s="4">
        <v>71</v>
      </c>
      <c r="BR582" s="8">
        <v>619.83</v>
      </c>
      <c r="BS582" s="7">
        <v>-0.9296</v>
      </c>
      <c r="BT582" s="7">
        <v>-0.9133</v>
      </c>
      <c r="BU582" s="2" t="s">
        <v>211</v>
      </c>
      <c r="BV582" s="2" t="s">
        <v>95</v>
      </c>
      <c r="BW582" s="2" t="s">
        <v>1937</v>
      </c>
      <c r="BX582" s="2" t="s">
        <v>1952</v>
      </c>
      <c r="BY582" s="2" t="s">
        <v>111</v>
      </c>
    </row>
    <row r="583">
      <c r="A583" s="2" t="s">
        <v>1953</v>
      </c>
      <c r="B583" s="2" t="s">
        <v>86</v>
      </c>
      <c r="C583" s="2" t="s">
        <v>87</v>
      </c>
      <c r="D583" s="2" t="s">
        <v>1786</v>
      </c>
      <c r="E583" s="2" t="s">
        <v>1786</v>
      </c>
      <c r="F583" s="2" t="s">
        <v>744</v>
      </c>
      <c r="G583" s="2" t="s">
        <v>745</v>
      </c>
      <c r="H583" s="2" t="s">
        <v>746</v>
      </c>
      <c r="I583" s="2" t="s">
        <v>1954</v>
      </c>
      <c r="J583" s="2" t="s">
        <v>1808</v>
      </c>
      <c r="K583" s="2" t="s">
        <v>748</v>
      </c>
      <c r="L583" s="3">
        <v>9</v>
      </c>
      <c r="M583" s="3">
        <v>9.45</v>
      </c>
      <c r="N583" s="3">
        <v>19.99</v>
      </c>
      <c r="O583" s="2" t="s">
        <v>368</v>
      </c>
      <c r="P583" s="2" t="s">
        <v>215</v>
      </c>
      <c r="Q583" s="2" t="s">
        <v>97</v>
      </c>
      <c r="R583" s="2" t="s">
        <v>98</v>
      </c>
      <c r="S583" s="2" t="s">
        <v>749</v>
      </c>
      <c r="T583" s="2" t="s">
        <v>98</v>
      </c>
      <c r="U583" s="2" t="s">
        <v>98</v>
      </c>
      <c r="V583" s="2" t="s">
        <v>101</v>
      </c>
      <c r="W583" s="2" t="s">
        <v>688</v>
      </c>
      <c r="X583" s="2" t="s">
        <v>98</v>
      </c>
      <c r="Y583" s="2" t="s">
        <v>104</v>
      </c>
      <c r="Z583" s="4"/>
      <c r="AA583" s="4">
        <f>=ROUNDDOWN({0},0)</f>
      </c>
      <c r="AB583" s="5"/>
      <c r="AC583" s="2" t="s">
        <v>98</v>
      </c>
      <c r="AD583" s="4"/>
      <c r="AE583" s="4"/>
      <c r="AF583" s="6"/>
      <c r="AG583" s="6"/>
      <c r="AH583" s="7">
        <v>0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>
        <v>1</v>
      </c>
      <c r="AS583" s="8">
        <v>9.36</v>
      </c>
      <c r="AT583" s="7">
        <v>-1</v>
      </c>
      <c r="AU583" s="7">
        <v>-1</v>
      </c>
      <c r="AV583" s="4"/>
      <c r="AW583" s="8"/>
      <c r="AX583" s="4">
        <v>1</v>
      </c>
      <c r="AY583" s="8">
        <v>9.36</v>
      </c>
      <c r="AZ583" s="7">
        <v>-1</v>
      </c>
      <c r="BA583" s="7">
        <v>-1</v>
      </c>
      <c r="BB583" s="7"/>
      <c r="BC583" s="4" t="s">
        <v>98</v>
      </c>
      <c r="BD583" s="8" t="s">
        <v>98</v>
      </c>
      <c r="BE583" s="4">
        <v>22</v>
      </c>
      <c r="BF583" s="8">
        <v>205.92</v>
      </c>
      <c r="BG583" s="7" t="s">
        <v>98</v>
      </c>
      <c r="BH583" s="7" t="s">
        <v>98</v>
      </c>
      <c r="BI583" s="7"/>
      <c r="BJ583" s="4"/>
      <c r="BK583" s="8"/>
      <c r="BL583" s="2" t="s">
        <v>815</v>
      </c>
      <c r="BM583" s="7"/>
      <c r="BN583" s="7"/>
      <c r="BO583" s="4"/>
      <c r="BP583" s="8"/>
      <c r="BQ583" s="4">
        <v>1</v>
      </c>
      <c r="BR583" s="8">
        <v>9.36</v>
      </c>
      <c r="BS583" s="7">
        <v>-1</v>
      </c>
      <c r="BT583" s="7">
        <v>-1</v>
      </c>
      <c r="BU583" s="2" t="s">
        <v>211</v>
      </c>
      <c r="BV583" s="2" t="s">
        <v>352</v>
      </c>
      <c r="BW583" s="2" t="s">
        <v>109</v>
      </c>
      <c r="BX583" s="2" t="s">
        <v>1355</v>
      </c>
      <c r="BY583" s="2" t="s">
        <v>111</v>
      </c>
    </row>
    <row r="584">
      <c r="A584" s="2" t="s">
        <v>1955</v>
      </c>
      <c r="B584" s="2" t="s">
        <v>86</v>
      </c>
      <c r="C584" s="2" t="s">
        <v>87</v>
      </c>
      <c r="D584" s="2" t="s">
        <v>1786</v>
      </c>
      <c r="E584" s="2" t="s">
        <v>1786</v>
      </c>
      <c r="F584" s="2" t="s">
        <v>744</v>
      </c>
      <c r="G584" s="2" t="s">
        <v>745</v>
      </c>
      <c r="H584" s="2" t="s">
        <v>746</v>
      </c>
      <c r="I584" s="2" t="s">
        <v>1954</v>
      </c>
      <c r="J584" s="2" t="s">
        <v>1808</v>
      </c>
      <c r="K584" s="2" t="s">
        <v>94</v>
      </c>
      <c r="L584" s="3">
        <v>10</v>
      </c>
      <c r="M584" s="3">
        <v>10.5</v>
      </c>
      <c r="N584" s="3">
        <v>24.99</v>
      </c>
      <c r="O584" s="2" t="s">
        <v>368</v>
      </c>
      <c r="P584" s="2" t="s">
        <v>215</v>
      </c>
      <c r="Q584" s="2" t="s">
        <v>97</v>
      </c>
      <c r="R584" s="2" t="s">
        <v>98</v>
      </c>
      <c r="S584" s="2" t="s">
        <v>752</v>
      </c>
      <c r="T584" s="2" t="s">
        <v>98</v>
      </c>
      <c r="U584" s="2" t="s">
        <v>98</v>
      </c>
      <c r="V584" s="2" t="s">
        <v>101</v>
      </c>
      <c r="W584" s="2" t="s">
        <v>688</v>
      </c>
      <c r="X584" s="2" t="s">
        <v>98</v>
      </c>
      <c r="Y584" s="2" t="s">
        <v>104</v>
      </c>
      <c r="Z584" s="4">
        <v>1</v>
      </c>
      <c r="AA584" s="4">
        <f>=ROUNDDOWN(5,0)</f>
      </c>
      <c r="AB584" s="5">
        <v>0.2</v>
      </c>
      <c r="AC584" s="2" t="s">
        <v>98</v>
      </c>
      <c r="AD584" s="4"/>
      <c r="AE584" s="4"/>
      <c r="AF584" s="6"/>
      <c r="AG584" s="6"/>
      <c r="AH584" s="7">
        <v>0.2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21</v>
      </c>
      <c r="AS584" s="8">
        <v>196.56</v>
      </c>
      <c r="AT584" s="7">
        <v>-1</v>
      </c>
      <c r="AU584" s="7">
        <v>-1</v>
      </c>
      <c r="AV584" s="4"/>
      <c r="AW584" s="8"/>
      <c r="AX584" s="4">
        <v>21</v>
      </c>
      <c r="AY584" s="8">
        <v>196.56</v>
      </c>
      <c r="AZ584" s="7">
        <v>-1</v>
      </c>
      <c r="BA584" s="7">
        <v>-1</v>
      </c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11</v>
      </c>
      <c r="BK584" s="8">
        <v>104.5</v>
      </c>
      <c r="BL584" s="2" t="s">
        <v>1779</v>
      </c>
      <c r="BM584" s="7"/>
      <c r="BN584" s="7"/>
      <c r="BO584" s="4"/>
      <c r="BP584" s="8"/>
      <c r="BQ584" s="4">
        <v>21</v>
      </c>
      <c r="BR584" s="8">
        <v>196.56</v>
      </c>
      <c r="BS584" s="7">
        <v>-1</v>
      </c>
      <c r="BT584" s="7">
        <v>-1</v>
      </c>
      <c r="BU584" s="2" t="s">
        <v>211</v>
      </c>
      <c r="BV584" s="2" t="s">
        <v>352</v>
      </c>
      <c r="BW584" s="2" t="s">
        <v>109</v>
      </c>
      <c r="BX584" s="2" t="s">
        <v>285</v>
      </c>
      <c r="BY584" s="2" t="s">
        <v>111</v>
      </c>
    </row>
    <row r="585">
      <c r="A585" s="2" t="s">
        <v>1956</v>
      </c>
      <c r="B585" s="2" t="s">
        <v>86</v>
      </c>
      <c r="C585" s="2" t="s">
        <v>87</v>
      </c>
      <c r="D585" s="2" t="s">
        <v>1786</v>
      </c>
      <c r="E585" s="2" t="s">
        <v>1786</v>
      </c>
      <c r="F585" s="2" t="s">
        <v>807</v>
      </c>
      <c r="G585" s="2" t="s">
        <v>808</v>
      </c>
      <c r="H585" s="2" t="s">
        <v>90</v>
      </c>
      <c r="I585" s="2" t="s">
        <v>1957</v>
      </c>
      <c r="J585" s="2" t="s">
        <v>1808</v>
      </c>
      <c r="K585" s="2" t="s">
        <v>464</v>
      </c>
      <c r="L585" s="3">
        <v>9</v>
      </c>
      <c r="M585" s="3">
        <v>9.45</v>
      </c>
      <c r="N585" s="3">
        <v>19.99</v>
      </c>
      <c r="O585" s="2" t="s">
        <v>368</v>
      </c>
      <c r="P585" s="2" t="s">
        <v>215</v>
      </c>
      <c r="Q585" s="2" t="s">
        <v>97</v>
      </c>
      <c r="R585" s="2" t="s">
        <v>98</v>
      </c>
      <c r="S585" s="2" t="s">
        <v>1958</v>
      </c>
      <c r="T585" s="2" t="s">
        <v>98</v>
      </c>
      <c r="U585" s="2" t="s">
        <v>98</v>
      </c>
      <c r="V585" s="2" t="s">
        <v>334</v>
      </c>
      <c r="W585" s="2" t="s">
        <v>335</v>
      </c>
      <c r="X585" s="2" t="s">
        <v>98</v>
      </c>
      <c r="Y585" s="2" t="s">
        <v>104</v>
      </c>
      <c r="Z585" s="4"/>
      <c r="AA585" s="4">
        <f>=ROUNDDOWN({0},0)</f>
      </c>
      <c r="AB585" s="5"/>
      <c r="AC585" s="2" t="s">
        <v>98</v>
      </c>
      <c r="AD585" s="4"/>
      <c r="AE585" s="4"/>
      <c r="AF585" s="6"/>
      <c r="AG585" s="6"/>
      <c r="AH585" s="7">
        <v>0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>
        <v>1</v>
      </c>
      <c r="AS585" s="8">
        <v>9.36</v>
      </c>
      <c r="AT585" s="7">
        <v>-1</v>
      </c>
      <c r="AU585" s="7">
        <v>-1</v>
      </c>
      <c r="AV585" s="4"/>
      <c r="AW585" s="8"/>
      <c r="AX585" s="4">
        <v>1</v>
      </c>
      <c r="AY585" s="8">
        <v>9.36</v>
      </c>
      <c r="AZ585" s="7">
        <v>-1</v>
      </c>
      <c r="BA585" s="7">
        <v>-1</v>
      </c>
      <c r="BB585" s="7"/>
      <c r="BC585" s="4" t="s">
        <v>98</v>
      </c>
      <c r="BD585" s="8" t="s">
        <v>98</v>
      </c>
      <c r="BE585" s="4">
        <v>69</v>
      </c>
      <c r="BF585" s="8">
        <v>645.84</v>
      </c>
      <c r="BG585" s="7" t="s">
        <v>98</v>
      </c>
      <c r="BH585" s="7" t="s">
        <v>98</v>
      </c>
      <c r="BI585" s="7"/>
      <c r="BJ585" s="4"/>
      <c r="BK585" s="8"/>
      <c r="BL585" s="2" t="s">
        <v>1959</v>
      </c>
      <c r="BM585" s="7"/>
      <c r="BN585" s="7"/>
      <c r="BO585" s="4"/>
      <c r="BP585" s="8"/>
      <c r="BQ585" s="4">
        <v>1</v>
      </c>
      <c r="BR585" s="8">
        <v>9.36</v>
      </c>
      <c r="BS585" s="7">
        <v>-1</v>
      </c>
      <c r="BT585" s="7">
        <v>-1</v>
      </c>
      <c r="BU585" s="2" t="s">
        <v>211</v>
      </c>
      <c r="BV585" s="2" t="s">
        <v>352</v>
      </c>
      <c r="BW585" s="2" t="s">
        <v>109</v>
      </c>
      <c r="BX585" s="2" t="s">
        <v>274</v>
      </c>
      <c r="BY585" s="2" t="s">
        <v>111</v>
      </c>
    </row>
    <row r="586">
      <c r="A586" s="2" t="s">
        <v>1960</v>
      </c>
      <c r="B586" s="2" t="s">
        <v>86</v>
      </c>
      <c r="C586" s="2" t="s">
        <v>87</v>
      </c>
      <c r="D586" s="2" t="s">
        <v>1786</v>
      </c>
      <c r="E586" s="2" t="s">
        <v>1786</v>
      </c>
      <c r="F586" s="2" t="s">
        <v>807</v>
      </c>
      <c r="G586" s="2" t="s">
        <v>808</v>
      </c>
      <c r="H586" s="2" t="s">
        <v>90</v>
      </c>
      <c r="I586" s="2" t="s">
        <v>1957</v>
      </c>
      <c r="J586" s="2" t="s">
        <v>1808</v>
      </c>
      <c r="K586" s="2" t="s">
        <v>458</v>
      </c>
      <c r="L586" s="3">
        <v>9</v>
      </c>
      <c r="M586" s="3">
        <v>9.45</v>
      </c>
      <c r="N586" s="3">
        <v>19.99</v>
      </c>
      <c r="O586" s="2" t="s">
        <v>368</v>
      </c>
      <c r="P586" s="2" t="s">
        <v>215</v>
      </c>
      <c r="Q586" s="2" t="s">
        <v>97</v>
      </c>
      <c r="R586" s="2" t="s">
        <v>98</v>
      </c>
      <c r="S586" s="2" t="s">
        <v>810</v>
      </c>
      <c r="T586" s="2" t="s">
        <v>98</v>
      </c>
      <c r="U586" s="2" t="s">
        <v>98</v>
      </c>
      <c r="V586" s="2" t="s">
        <v>334</v>
      </c>
      <c r="W586" s="2" t="s">
        <v>335</v>
      </c>
      <c r="X586" s="2" t="s">
        <v>98</v>
      </c>
      <c r="Y586" s="2" t="s">
        <v>104</v>
      </c>
      <c r="Z586" s="4"/>
      <c r="AA586" s="4">
        <f>=ROUNDDOWN({0},0)</f>
      </c>
      <c r="AB586" s="5"/>
      <c r="AC586" s="2" t="s">
        <v>98</v>
      </c>
      <c r="AD586" s="4"/>
      <c r="AE586" s="4"/>
      <c r="AF586" s="6"/>
      <c r="AG586" s="6"/>
      <c r="AH586" s="7">
        <v>0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>
        <v>43</v>
      </c>
      <c r="AS586" s="8">
        <v>402.48</v>
      </c>
      <c r="AT586" s="7">
        <v>-1</v>
      </c>
      <c r="AU586" s="7">
        <v>-1</v>
      </c>
      <c r="AV586" s="4"/>
      <c r="AW586" s="8"/>
      <c r="AX586" s="4">
        <v>43</v>
      </c>
      <c r="AY586" s="8">
        <v>402.48</v>
      </c>
      <c r="AZ586" s="7">
        <v>-1</v>
      </c>
      <c r="BA586" s="7">
        <v>-1</v>
      </c>
      <c r="BB586" s="7"/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/>
      <c r="BJ586" s="4"/>
      <c r="BK586" s="8"/>
      <c r="BL586" s="2" t="s">
        <v>811</v>
      </c>
      <c r="BM586" s="7"/>
      <c r="BN586" s="7"/>
      <c r="BO586" s="4"/>
      <c r="BP586" s="8"/>
      <c r="BQ586" s="4">
        <v>43</v>
      </c>
      <c r="BR586" s="8">
        <v>402.48</v>
      </c>
      <c r="BS586" s="7">
        <v>-1</v>
      </c>
      <c r="BT586" s="7">
        <v>-1</v>
      </c>
      <c r="BU586" s="2" t="s">
        <v>211</v>
      </c>
      <c r="BV586" s="2" t="s">
        <v>352</v>
      </c>
      <c r="BW586" s="2" t="s">
        <v>109</v>
      </c>
      <c r="BX586" s="2" t="s">
        <v>164</v>
      </c>
      <c r="BY586" s="2" t="s">
        <v>111</v>
      </c>
    </row>
    <row r="587">
      <c r="A587" s="2" t="s">
        <v>1961</v>
      </c>
      <c r="B587" s="2" t="s">
        <v>86</v>
      </c>
      <c r="C587" s="2" t="s">
        <v>87</v>
      </c>
      <c r="D587" s="2" t="s">
        <v>1786</v>
      </c>
      <c r="E587" s="2" t="s">
        <v>1786</v>
      </c>
      <c r="F587" s="2" t="s">
        <v>807</v>
      </c>
      <c r="G587" s="2" t="s">
        <v>808</v>
      </c>
      <c r="H587" s="2" t="s">
        <v>90</v>
      </c>
      <c r="I587" s="2" t="s">
        <v>1957</v>
      </c>
      <c r="J587" s="2" t="s">
        <v>1808</v>
      </c>
      <c r="K587" s="2" t="s">
        <v>455</v>
      </c>
      <c r="L587" s="3">
        <v>9</v>
      </c>
      <c r="M587" s="3">
        <v>9.45</v>
      </c>
      <c r="N587" s="3">
        <v>19.99</v>
      </c>
      <c r="O587" s="2" t="s">
        <v>368</v>
      </c>
      <c r="P587" s="2" t="s">
        <v>215</v>
      </c>
      <c r="Q587" s="2" t="s">
        <v>97</v>
      </c>
      <c r="R587" s="2" t="s">
        <v>98</v>
      </c>
      <c r="S587" s="2" t="s">
        <v>818</v>
      </c>
      <c r="T587" s="2" t="s">
        <v>98</v>
      </c>
      <c r="U587" s="2" t="s">
        <v>98</v>
      </c>
      <c r="V587" s="2" t="s">
        <v>334</v>
      </c>
      <c r="W587" s="2" t="s">
        <v>335</v>
      </c>
      <c r="X587" s="2" t="s">
        <v>98</v>
      </c>
      <c r="Y587" s="2" t="s">
        <v>104</v>
      </c>
      <c r="Z587" s="4"/>
      <c r="AA587" s="4">
        <f>=ROUNDDOWN({0},0)</f>
      </c>
      <c r="AB587" s="5">
        <v>1.6</v>
      </c>
      <c r="AC587" s="2" t="s">
        <v>98</v>
      </c>
      <c r="AD587" s="4"/>
      <c r="AE587" s="4"/>
      <c r="AF587" s="6"/>
      <c r="AG587" s="6"/>
      <c r="AH587" s="7">
        <v>0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>
        <v>25</v>
      </c>
      <c r="AS587" s="8">
        <v>234</v>
      </c>
      <c r="AT587" s="7">
        <v>-1</v>
      </c>
      <c r="AU587" s="7">
        <v>-1</v>
      </c>
      <c r="AV587" s="4"/>
      <c r="AW587" s="8"/>
      <c r="AX587" s="4">
        <v>25</v>
      </c>
      <c r="AY587" s="8">
        <v>234</v>
      </c>
      <c r="AZ587" s="7">
        <v>-1</v>
      </c>
      <c r="BA587" s="7">
        <v>-1</v>
      </c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/>
      <c r="BK587" s="8"/>
      <c r="BL587" s="2" t="s">
        <v>1962</v>
      </c>
      <c r="BM587" s="7"/>
      <c r="BN587" s="7"/>
      <c r="BO587" s="4"/>
      <c r="BP587" s="8"/>
      <c r="BQ587" s="4">
        <v>25</v>
      </c>
      <c r="BR587" s="8">
        <v>234</v>
      </c>
      <c r="BS587" s="7">
        <v>-1</v>
      </c>
      <c r="BT587" s="7">
        <v>-1</v>
      </c>
      <c r="BU587" s="2" t="s">
        <v>211</v>
      </c>
      <c r="BV587" s="2" t="s">
        <v>352</v>
      </c>
      <c r="BW587" s="2" t="s">
        <v>109</v>
      </c>
      <c r="BX587" s="2" t="s">
        <v>142</v>
      </c>
      <c r="BY587" s="2" t="s">
        <v>111</v>
      </c>
    </row>
    <row r="588">
      <c r="A588" s="2" t="s">
        <v>1963</v>
      </c>
      <c r="B588" s="2" t="s">
        <v>86</v>
      </c>
      <c r="C588" s="2" t="s">
        <v>87</v>
      </c>
      <c r="D588" s="2" t="s">
        <v>1786</v>
      </c>
      <c r="E588" s="2" t="s">
        <v>1786</v>
      </c>
      <c r="F588" s="2" t="s">
        <v>1649</v>
      </c>
      <c r="G588" s="2" t="s">
        <v>1660</v>
      </c>
      <c r="H588" s="2" t="s">
        <v>1650</v>
      </c>
      <c r="I588" s="2" t="s">
        <v>1964</v>
      </c>
      <c r="J588" s="2" t="s">
        <v>1808</v>
      </c>
      <c r="K588" s="2" t="s">
        <v>460</v>
      </c>
      <c r="L588" s="3">
        <v>10</v>
      </c>
      <c r="M588" s="3">
        <v>10.5</v>
      </c>
      <c r="N588" s="3">
        <v>24.99</v>
      </c>
      <c r="O588" s="2" t="s">
        <v>368</v>
      </c>
      <c r="P588" s="2" t="s">
        <v>215</v>
      </c>
      <c r="Q588" s="2" t="s">
        <v>97</v>
      </c>
      <c r="R588" s="2" t="s">
        <v>98</v>
      </c>
      <c r="S588" s="2" t="s">
        <v>1661</v>
      </c>
      <c r="T588" s="2" t="s">
        <v>98</v>
      </c>
      <c r="U588" s="2" t="s">
        <v>98</v>
      </c>
      <c r="V588" s="2" t="s">
        <v>522</v>
      </c>
      <c r="W588" s="2" t="s">
        <v>567</v>
      </c>
      <c r="X588" s="2" t="s">
        <v>98</v>
      </c>
      <c r="Y588" s="2" t="s">
        <v>104</v>
      </c>
      <c r="Z588" s="4"/>
      <c r="AA588" s="4">
        <f>=ROUNDDOWN({0},0)</f>
      </c>
      <c r="AB588" s="5"/>
      <c r="AC588" s="2" t="s">
        <v>98</v>
      </c>
      <c r="AD588" s="4"/>
      <c r="AE588" s="4"/>
      <c r="AF588" s="6"/>
      <c r="AG588" s="6"/>
      <c r="AH588" s="7">
        <v>0.4222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>
        <v>29</v>
      </c>
      <c r="AS588" s="8">
        <v>271.44</v>
      </c>
      <c r="AT588" s="7">
        <v>-1</v>
      </c>
      <c r="AU588" s="7">
        <v>-1</v>
      </c>
      <c r="AV588" s="4"/>
      <c r="AW588" s="8"/>
      <c r="AX588" s="4">
        <v>29</v>
      </c>
      <c r="AY588" s="8">
        <v>271.44</v>
      </c>
      <c r="AZ588" s="7">
        <v>-1</v>
      </c>
      <c r="BA588" s="7">
        <v>-1</v>
      </c>
      <c r="BB588" s="7"/>
      <c r="BC588" s="4" t="s">
        <v>98</v>
      </c>
      <c r="BD588" s="8" t="s">
        <v>98</v>
      </c>
      <c r="BE588" s="4">
        <v>32</v>
      </c>
      <c r="BF588" s="8">
        <v>299.52</v>
      </c>
      <c r="BG588" s="7" t="s">
        <v>98</v>
      </c>
      <c r="BH588" s="7" t="s">
        <v>98</v>
      </c>
      <c r="BI588" s="7"/>
      <c r="BJ588" s="4"/>
      <c r="BK588" s="8"/>
      <c r="BL588" s="2" t="s">
        <v>1779</v>
      </c>
      <c r="BM588" s="7"/>
      <c r="BN588" s="7"/>
      <c r="BO588" s="4"/>
      <c r="BP588" s="8"/>
      <c r="BQ588" s="4">
        <v>29</v>
      </c>
      <c r="BR588" s="8">
        <v>271.44</v>
      </c>
      <c r="BS588" s="7">
        <v>-1</v>
      </c>
      <c r="BT588" s="7">
        <v>-1</v>
      </c>
      <c r="BU588" s="2" t="s">
        <v>211</v>
      </c>
      <c r="BV588" s="2" t="s">
        <v>352</v>
      </c>
      <c r="BW588" s="2" t="s">
        <v>109</v>
      </c>
      <c r="BX588" s="2" t="s">
        <v>486</v>
      </c>
      <c r="BY588" s="2" t="s">
        <v>111</v>
      </c>
    </row>
    <row r="589">
      <c r="A589" s="2" t="s">
        <v>1965</v>
      </c>
      <c r="B589" s="2" t="s">
        <v>86</v>
      </c>
      <c r="C589" s="2" t="s">
        <v>87</v>
      </c>
      <c r="D589" s="2" t="s">
        <v>1786</v>
      </c>
      <c r="E589" s="2" t="s">
        <v>1786</v>
      </c>
      <c r="F589" s="2" t="s">
        <v>1649</v>
      </c>
      <c r="G589" s="2" t="s">
        <v>1660</v>
      </c>
      <c r="H589" s="2" t="s">
        <v>1650</v>
      </c>
      <c r="I589" s="2" t="s">
        <v>1964</v>
      </c>
      <c r="J589" s="2" t="s">
        <v>1808</v>
      </c>
      <c r="K589" s="2" t="s">
        <v>458</v>
      </c>
      <c r="L589" s="3">
        <v>10</v>
      </c>
      <c r="M589" s="3">
        <v>10.5</v>
      </c>
      <c r="N589" s="3">
        <v>24.99</v>
      </c>
      <c r="O589" s="2" t="s">
        <v>368</v>
      </c>
      <c r="P589" s="2" t="s">
        <v>215</v>
      </c>
      <c r="Q589" s="2" t="s">
        <v>97</v>
      </c>
      <c r="R589" s="2" t="s">
        <v>98</v>
      </c>
      <c r="S589" s="2" t="s">
        <v>1661</v>
      </c>
      <c r="T589" s="2" t="s">
        <v>98</v>
      </c>
      <c r="U589" s="2" t="s">
        <v>98</v>
      </c>
      <c r="V589" s="2" t="s">
        <v>522</v>
      </c>
      <c r="W589" s="2" t="s">
        <v>567</v>
      </c>
      <c r="X589" s="2" t="s">
        <v>98</v>
      </c>
      <c r="Y589" s="2" t="s">
        <v>104</v>
      </c>
      <c r="Z589" s="4"/>
      <c r="AA589" s="4">
        <f>=ROUNDDOWN({0},0)</f>
      </c>
      <c r="AB589" s="5">
        <v>4.1</v>
      </c>
      <c r="AC589" s="2" t="s">
        <v>98</v>
      </c>
      <c r="AD589" s="4"/>
      <c r="AE589" s="4"/>
      <c r="AF589" s="6">
        <v>65</v>
      </c>
      <c r="AG589" s="6"/>
      <c r="AH589" s="7">
        <v>0.2111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>
        <v>3</v>
      </c>
      <c r="AS589" s="8">
        <v>28.08</v>
      </c>
      <c r="AT589" s="7">
        <v>-1</v>
      </c>
      <c r="AU589" s="7">
        <v>-1</v>
      </c>
      <c r="AV589" s="4"/>
      <c r="AW589" s="8"/>
      <c r="AX589" s="4">
        <v>3</v>
      </c>
      <c r="AY589" s="8">
        <v>28.08</v>
      </c>
      <c r="AZ589" s="7">
        <v>-1</v>
      </c>
      <c r="BA589" s="7">
        <v>-1</v>
      </c>
      <c r="BB589" s="7"/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/>
      <c r="BJ589" s="4">
        <v>11</v>
      </c>
      <c r="BK589" s="8">
        <v>55.14</v>
      </c>
      <c r="BL589" s="2" t="s">
        <v>1966</v>
      </c>
      <c r="BM589" s="7"/>
      <c r="BN589" s="7"/>
      <c r="BO589" s="4"/>
      <c r="BP589" s="8"/>
      <c r="BQ589" s="4">
        <v>3</v>
      </c>
      <c r="BR589" s="8">
        <v>28.08</v>
      </c>
      <c r="BS589" s="7">
        <v>-1</v>
      </c>
      <c r="BT589" s="7">
        <v>-1</v>
      </c>
      <c r="BU589" s="2" t="s">
        <v>211</v>
      </c>
      <c r="BV589" s="2" t="s">
        <v>352</v>
      </c>
      <c r="BW589" s="2" t="s">
        <v>109</v>
      </c>
      <c r="BX589" s="2" t="s">
        <v>184</v>
      </c>
      <c r="BY589" s="2" t="s">
        <v>354</v>
      </c>
    </row>
    <row r="590">
      <c r="A590" s="2" t="s">
        <v>1967</v>
      </c>
      <c r="B590" s="2" t="s">
        <v>86</v>
      </c>
      <c r="C590" s="2" t="s">
        <v>87</v>
      </c>
      <c r="D590" s="2" t="s">
        <v>1786</v>
      </c>
      <c r="E590" s="2" t="s">
        <v>1786</v>
      </c>
      <c r="F590" s="2" t="s">
        <v>1968</v>
      </c>
      <c r="G590" s="2" t="s">
        <v>1969</v>
      </c>
      <c r="H590" s="2" t="s">
        <v>1970</v>
      </c>
      <c r="I590" s="2" t="s">
        <v>1971</v>
      </c>
      <c r="J590" s="2" t="s">
        <v>1808</v>
      </c>
      <c r="K590" s="2" t="s">
        <v>137</v>
      </c>
      <c r="L590" s="3">
        <v>9</v>
      </c>
      <c r="M590" s="3">
        <v>9.45</v>
      </c>
      <c r="N590" s="3">
        <v>16.99</v>
      </c>
      <c r="O590" s="2" t="s">
        <v>368</v>
      </c>
      <c r="P590" s="2" t="s">
        <v>215</v>
      </c>
      <c r="Q590" s="2" t="s">
        <v>97</v>
      </c>
      <c r="R590" s="2" t="s">
        <v>98</v>
      </c>
      <c r="S590" s="2" t="s">
        <v>138</v>
      </c>
      <c r="T590" s="2" t="s">
        <v>98</v>
      </c>
      <c r="U590" s="2" t="s">
        <v>98</v>
      </c>
      <c r="V590" s="2" t="s">
        <v>101</v>
      </c>
      <c r="W590" s="2" t="s">
        <v>102</v>
      </c>
      <c r="X590" s="2" t="s">
        <v>98</v>
      </c>
      <c r="Y590" s="2" t="s">
        <v>1792</v>
      </c>
      <c r="Z590" s="4"/>
      <c r="AA590" s="4">
        <f>=ROUNDDOWN({0},0)</f>
      </c>
      <c r="AB590" s="5"/>
      <c r="AC590" s="2" t="s">
        <v>98</v>
      </c>
      <c r="AD590" s="4"/>
      <c r="AE590" s="4"/>
      <c r="AF590" s="6"/>
      <c r="AG590" s="6"/>
      <c r="AH590" s="7">
        <v>0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>
        <v>9</v>
      </c>
      <c r="AS590" s="8">
        <v>80.37</v>
      </c>
      <c r="AT590" s="7">
        <v>-1</v>
      </c>
      <c r="AU590" s="7">
        <v>-1</v>
      </c>
      <c r="AV590" s="4"/>
      <c r="AW590" s="8"/>
      <c r="AX590" s="4">
        <v>9</v>
      </c>
      <c r="AY590" s="8">
        <v>80.37</v>
      </c>
      <c r="AZ590" s="7">
        <v>-1</v>
      </c>
      <c r="BA590" s="7">
        <v>-1</v>
      </c>
      <c r="BB590" s="7"/>
      <c r="BC590" s="4" t="s">
        <v>98</v>
      </c>
      <c r="BD590" s="8" t="s">
        <v>98</v>
      </c>
      <c r="BE590" s="4">
        <v>119</v>
      </c>
      <c r="BF590" s="8">
        <v>1062.67</v>
      </c>
      <c r="BG590" s="7" t="s">
        <v>98</v>
      </c>
      <c r="BH590" s="7" t="s">
        <v>98</v>
      </c>
      <c r="BI590" s="7"/>
      <c r="BJ590" s="4"/>
      <c r="BK590" s="8"/>
      <c r="BL590" s="2" t="s">
        <v>1779</v>
      </c>
      <c r="BM590" s="7"/>
      <c r="BN590" s="7"/>
      <c r="BO590" s="4"/>
      <c r="BP590" s="8"/>
      <c r="BQ590" s="4">
        <v>9</v>
      </c>
      <c r="BR590" s="8">
        <v>80.37</v>
      </c>
      <c r="BS590" s="7">
        <v>-1</v>
      </c>
      <c r="BT590" s="7">
        <v>-1</v>
      </c>
      <c r="BU590" s="2" t="s">
        <v>211</v>
      </c>
      <c r="BV590" s="2" t="s">
        <v>352</v>
      </c>
      <c r="BW590" s="2" t="s">
        <v>524</v>
      </c>
      <c r="BX590" s="2" t="s">
        <v>1972</v>
      </c>
      <c r="BY590" s="2" t="s">
        <v>111</v>
      </c>
    </row>
    <row r="591">
      <c r="A591" s="2" t="s">
        <v>1973</v>
      </c>
      <c r="B591" s="2" t="s">
        <v>86</v>
      </c>
      <c r="C591" s="2" t="s">
        <v>87</v>
      </c>
      <c r="D591" s="2" t="s">
        <v>1786</v>
      </c>
      <c r="E591" s="2" t="s">
        <v>1786</v>
      </c>
      <c r="F591" s="2" t="s">
        <v>1968</v>
      </c>
      <c r="G591" s="2" t="s">
        <v>1969</v>
      </c>
      <c r="H591" s="2" t="s">
        <v>1970</v>
      </c>
      <c r="I591" s="2" t="s">
        <v>1971</v>
      </c>
      <c r="J591" s="2" t="s">
        <v>1808</v>
      </c>
      <c r="K591" s="2" t="s">
        <v>94</v>
      </c>
      <c r="L591" s="3">
        <v>9</v>
      </c>
      <c r="M591" s="3">
        <v>9.45</v>
      </c>
      <c r="N591" s="3">
        <v>16.99</v>
      </c>
      <c r="O591" s="2" t="s">
        <v>368</v>
      </c>
      <c r="P591" s="2" t="s">
        <v>465</v>
      </c>
      <c r="Q591" s="2" t="s">
        <v>97</v>
      </c>
      <c r="R591" s="2" t="s">
        <v>98</v>
      </c>
      <c r="S591" s="2" t="s">
        <v>99</v>
      </c>
      <c r="T591" s="2" t="s">
        <v>98</v>
      </c>
      <c r="U591" s="2" t="s">
        <v>98</v>
      </c>
      <c r="V591" s="2" t="s">
        <v>101</v>
      </c>
      <c r="W591" s="2" t="s">
        <v>102</v>
      </c>
      <c r="X591" s="2" t="s">
        <v>98</v>
      </c>
      <c r="Y591" s="2" t="s">
        <v>1792</v>
      </c>
      <c r="Z591" s="4"/>
      <c r="AA591" s="4">
        <f>=ROUNDDOWN({0},0)</f>
      </c>
      <c r="AB591" s="5"/>
      <c r="AC591" s="2" t="s">
        <v>98</v>
      </c>
      <c r="AD591" s="4"/>
      <c r="AE591" s="4"/>
      <c r="AF591" s="6"/>
      <c r="AG591" s="6"/>
      <c r="AH591" s="7">
        <v>0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>
        <v>110</v>
      </c>
      <c r="AS591" s="8">
        <v>982.3</v>
      </c>
      <c r="AT591" s="7">
        <v>-1</v>
      </c>
      <c r="AU591" s="7">
        <v>-1</v>
      </c>
      <c r="AV591" s="4"/>
      <c r="AW591" s="8"/>
      <c r="AX591" s="4">
        <v>110</v>
      </c>
      <c r="AY591" s="8">
        <v>982.3</v>
      </c>
      <c r="AZ591" s="7">
        <v>-1</v>
      </c>
      <c r="BA591" s="7">
        <v>-1</v>
      </c>
      <c r="BB591" s="7"/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/>
      <c r="BJ591" s="4"/>
      <c r="BK591" s="8"/>
      <c r="BL591" s="2" t="s">
        <v>1323</v>
      </c>
      <c r="BM591" s="7"/>
      <c r="BN591" s="7"/>
      <c r="BO591" s="4"/>
      <c r="BP591" s="8"/>
      <c r="BQ591" s="4">
        <v>110</v>
      </c>
      <c r="BR591" s="8">
        <v>982.3</v>
      </c>
      <c r="BS591" s="7">
        <v>-1</v>
      </c>
      <c r="BT591" s="7">
        <v>-1</v>
      </c>
      <c r="BU591" s="2" t="s">
        <v>211</v>
      </c>
      <c r="BV591" s="2" t="s">
        <v>352</v>
      </c>
      <c r="BW591" s="2" t="s">
        <v>524</v>
      </c>
      <c r="BX591" s="2" t="s">
        <v>693</v>
      </c>
      <c r="BY591" s="2" t="s">
        <v>111</v>
      </c>
    </row>
    <row r="592">
      <c r="A592" s="2" t="s">
        <v>1974</v>
      </c>
      <c r="B592" s="2" t="s">
        <v>86</v>
      </c>
      <c r="C592" s="2" t="s">
        <v>87</v>
      </c>
      <c r="D592" s="2" t="s">
        <v>1975</v>
      </c>
      <c r="E592" s="2" t="s">
        <v>1976</v>
      </c>
      <c r="F592" s="2" t="s">
        <v>1932</v>
      </c>
      <c r="G592" s="2" t="s">
        <v>1933</v>
      </c>
      <c r="H592" s="2" t="s">
        <v>1934</v>
      </c>
      <c r="I592" s="2" t="s">
        <v>1977</v>
      </c>
      <c r="J592" s="2" t="s">
        <v>1978</v>
      </c>
      <c r="K592" s="2" t="s">
        <v>551</v>
      </c>
      <c r="L592" s="3">
        <v>11.88</v>
      </c>
      <c r="M592" s="3">
        <v>12.47</v>
      </c>
      <c r="N592" s="3">
        <v>28.99</v>
      </c>
      <c r="O592" s="2" t="s">
        <v>368</v>
      </c>
      <c r="P592" s="2" t="s">
        <v>215</v>
      </c>
      <c r="Q592" s="2" t="s">
        <v>97</v>
      </c>
      <c r="R592" s="2" t="s">
        <v>98</v>
      </c>
      <c r="S592" s="2" t="s">
        <v>1936</v>
      </c>
      <c r="T592" s="2" t="s">
        <v>98</v>
      </c>
      <c r="U592" s="2" t="s">
        <v>98</v>
      </c>
      <c r="V592" s="2" t="s">
        <v>762</v>
      </c>
      <c r="W592" s="2" t="s">
        <v>688</v>
      </c>
      <c r="X592" s="2" t="s">
        <v>98</v>
      </c>
      <c r="Y592" s="2" t="s">
        <v>1937</v>
      </c>
      <c r="Z592" s="4"/>
      <c r="AA592" s="4">
        <f>=ROUNDDOWN({0},0)</f>
      </c>
      <c r="AB592" s="5">
        <v>1</v>
      </c>
      <c r="AC592" s="2" t="s">
        <v>98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15</v>
      </c>
      <c r="AQ592" s="8">
        <v>142.65</v>
      </c>
      <c r="AR592" s="4">
        <v>8</v>
      </c>
      <c r="AS592" s="8">
        <v>76.16</v>
      </c>
      <c r="AT592" s="7">
        <v>0.875</v>
      </c>
      <c r="AU592" s="7">
        <v>0.873</v>
      </c>
      <c r="AV592" s="4">
        <v>22</v>
      </c>
      <c r="AW592" s="8">
        <v>215.59</v>
      </c>
      <c r="AX592" s="4">
        <v>47</v>
      </c>
      <c r="AY592" s="8">
        <v>511.4</v>
      </c>
      <c r="AZ592" s="7">
        <v>-0.5319</v>
      </c>
      <c r="BA592" s="7">
        <v>-0.5784</v>
      </c>
      <c r="BB592" s="7">
        <v>0.6617</v>
      </c>
      <c r="BC592" s="4">
        <v>22</v>
      </c>
      <c r="BD592" s="8">
        <v>215.59</v>
      </c>
      <c r="BE592" s="4">
        <v>47</v>
      </c>
      <c r="BF592" s="8">
        <v>511.4</v>
      </c>
      <c r="BG592" s="7">
        <v>-0.5319</v>
      </c>
      <c r="BH592" s="7">
        <v>-0.5784</v>
      </c>
      <c r="BI592" s="7">
        <v>1</v>
      </c>
      <c r="BJ592" s="4">
        <v>116</v>
      </c>
      <c r="BK592" s="8">
        <v>1297.34</v>
      </c>
      <c r="BL592" s="2" t="s">
        <v>452</v>
      </c>
      <c r="BM592" s="7">
        <v>0.1293</v>
      </c>
      <c r="BN592" s="7">
        <v>0.11</v>
      </c>
      <c r="BO592" s="4">
        <v>15</v>
      </c>
      <c r="BP592" s="8">
        <v>142.65</v>
      </c>
      <c r="BQ592" s="4">
        <v>8</v>
      </c>
      <c r="BR592" s="8">
        <v>76.16</v>
      </c>
      <c r="BS592" s="7">
        <v>0.875</v>
      </c>
      <c r="BT592" s="7">
        <v>0.873</v>
      </c>
      <c r="BU592" s="2" t="s">
        <v>211</v>
      </c>
      <c r="BV592" s="2" t="s">
        <v>352</v>
      </c>
      <c r="BW592" s="2" t="s">
        <v>524</v>
      </c>
      <c r="BX592" s="2" t="s">
        <v>1979</v>
      </c>
      <c r="BY592" s="2" t="s">
        <v>354</v>
      </c>
    </row>
    <row r="593">
      <c r="A593" s="2" t="s">
        <v>1980</v>
      </c>
      <c r="B593" s="2" t="s">
        <v>86</v>
      </c>
      <c r="C593" s="2" t="s">
        <v>87</v>
      </c>
      <c r="D593" s="2" t="s">
        <v>1975</v>
      </c>
      <c r="E593" s="2" t="s">
        <v>1976</v>
      </c>
      <c r="F593" s="2" t="s">
        <v>1932</v>
      </c>
      <c r="G593" s="2" t="s">
        <v>1933</v>
      </c>
      <c r="H593" s="2" t="s">
        <v>1934</v>
      </c>
      <c r="I593" s="2" t="s">
        <v>1981</v>
      </c>
      <c r="J593" s="2" t="s">
        <v>1982</v>
      </c>
      <c r="K593" s="2" t="s">
        <v>551</v>
      </c>
      <c r="L593" s="3">
        <v>13.2</v>
      </c>
      <c r="M593" s="3">
        <v>13.86</v>
      </c>
      <c r="N593" s="3">
        <v>31.99</v>
      </c>
      <c r="O593" s="2" t="s">
        <v>368</v>
      </c>
      <c r="P593" s="2" t="s">
        <v>215</v>
      </c>
      <c r="Q593" s="2" t="s">
        <v>97</v>
      </c>
      <c r="R593" s="2" t="s">
        <v>98</v>
      </c>
      <c r="S593" s="2" t="s">
        <v>1936</v>
      </c>
      <c r="T593" s="2" t="s">
        <v>98</v>
      </c>
      <c r="U593" s="2" t="s">
        <v>98</v>
      </c>
      <c r="V593" s="2" t="s">
        <v>762</v>
      </c>
      <c r="W593" s="2" t="s">
        <v>688</v>
      </c>
      <c r="X593" s="2" t="s">
        <v>98</v>
      </c>
      <c r="Y593" s="2" t="s">
        <v>1937</v>
      </c>
      <c r="Z593" s="4">
        <v>4</v>
      </c>
      <c r="AA593" s="4">
        <f>=ROUNDDOWN(6.66666666666667,0)</f>
      </c>
      <c r="AB593" s="5">
        <v>0.6</v>
      </c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7</v>
      </c>
      <c r="AQ593" s="8">
        <v>72.94</v>
      </c>
      <c r="AR593" s="4">
        <v>39</v>
      </c>
      <c r="AS593" s="8">
        <v>435.24</v>
      </c>
      <c r="AT593" s="7">
        <v>-0.8205</v>
      </c>
      <c r="AU593" s="7">
        <v>-0.8324</v>
      </c>
      <c r="AV593" s="4" t="s">
        <v>98</v>
      </c>
      <c r="AW593" s="8" t="s">
        <v>98</v>
      </c>
      <c r="AX593" s="4" t="s">
        <v>98</v>
      </c>
      <c r="AY593" s="8" t="s">
        <v>98</v>
      </c>
      <c r="AZ593" s="7" t="s">
        <v>98</v>
      </c>
      <c r="BA593" s="7" t="s">
        <v>98</v>
      </c>
      <c r="BB593" s="7">
        <v>0.3383</v>
      </c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 t="s">
        <v>98</v>
      </c>
      <c r="BJ593" s="4">
        <v>98</v>
      </c>
      <c r="BK593" s="8">
        <v>1250.12</v>
      </c>
      <c r="BL593" s="2" t="s">
        <v>452</v>
      </c>
      <c r="BM593" s="7">
        <v>0.0714</v>
      </c>
      <c r="BN593" s="7">
        <v>0.0583</v>
      </c>
      <c r="BO593" s="4">
        <v>7</v>
      </c>
      <c r="BP593" s="8">
        <v>72.94</v>
      </c>
      <c r="BQ593" s="4">
        <v>39</v>
      </c>
      <c r="BR593" s="8">
        <v>435.24</v>
      </c>
      <c r="BS593" s="7">
        <v>-0.8205</v>
      </c>
      <c r="BT593" s="7">
        <v>-0.8324</v>
      </c>
      <c r="BU593" s="2" t="s">
        <v>211</v>
      </c>
      <c r="BV593" s="2" t="s">
        <v>352</v>
      </c>
      <c r="BW593" s="2" t="s">
        <v>524</v>
      </c>
      <c r="BX593" s="2" t="s">
        <v>1844</v>
      </c>
      <c r="BY593" s="2" t="s">
        <v>354</v>
      </c>
    </row>
    <row r="594">
      <c r="A594" s="2" t="s">
        <v>1983</v>
      </c>
      <c r="B594" s="2" t="s">
        <v>86</v>
      </c>
      <c r="C594" s="2" t="s">
        <v>87</v>
      </c>
      <c r="D594" s="2" t="s">
        <v>1984</v>
      </c>
      <c r="E594" s="2" t="s">
        <v>1985</v>
      </c>
      <c r="F594" s="2" t="s">
        <v>1758</v>
      </c>
      <c r="G594" s="2" t="s">
        <v>1759</v>
      </c>
      <c r="H594" s="2" t="s">
        <v>1760</v>
      </c>
      <c r="I594" s="2" t="s">
        <v>1986</v>
      </c>
      <c r="J594" s="2" t="s">
        <v>1987</v>
      </c>
      <c r="K594" s="2" t="s">
        <v>323</v>
      </c>
      <c r="L594" s="3">
        <v>17.32</v>
      </c>
      <c r="M594" s="3">
        <v>18.19</v>
      </c>
      <c r="N594" s="3">
        <v>37.99</v>
      </c>
      <c r="O594" s="2" t="s">
        <v>368</v>
      </c>
      <c r="P594" s="2" t="s">
        <v>215</v>
      </c>
      <c r="Q594" s="2" t="s">
        <v>97</v>
      </c>
      <c r="R594" s="2" t="s">
        <v>98</v>
      </c>
      <c r="S594" s="2" t="s">
        <v>1762</v>
      </c>
      <c r="T594" s="2" t="s">
        <v>98</v>
      </c>
      <c r="U594" s="2" t="s">
        <v>98</v>
      </c>
      <c r="V594" s="2" t="s">
        <v>482</v>
      </c>
      <c r="W594" s="2" t="s">
        <v>567</v>
      </c>
      <c r="X594" s="2" t="s">
        <v>98</v>
      </c>
      <c r="Y594" s="2" t="s">
        <v>104</v>
      </c>
      <c r="Z594" s="4"/>
      <c r="AA594" s="4">
        <f>=ROUNDDOWN({0},0)</f>
      </c>
      <c r="AB594" s="5"/>
      <c r="AC594" s="2" t="s">
        <v>98</v>
      </c>
      <c r="AD594" s="4"/>
      <c r="AE594" s="4"/>
      <c r="AF594" s="6"/>
      <c r="AG594" s="6"/>
      <c r="AH594" s="7">
        <v>0.3667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2</v>
      </c>
      <c r="AS594" s="8">
        <v>28.18</v>
      </c>
      <c r="AT594" s="7">
        <v>-1</v>
      </c>
      <c r="AU594" s="7">
        <v>-1</v>
      </c>
      <c r="AV594" s="4"/>
      <c r="AW594" s="8"/>
      <c r="AX594" s="4">
        <v>2</v>
      </c>
      <c r="AY594" s="8">
        <v>28.18</v>
      </c>
      <c r="AZ594" s="7">
        <v>-1</v>
      </c>
      <c r="BA594" s="7">
        <v>-1</v>
      </c>
      <c r="BB594" s="7"/>
      <c r="BC594" s="4"/>
      <c r="BD594" s="8"/>
      <c r="BE594" s="4">
        <v>2</v>
      </c>
      <c r="BF594" s="8">
        <v>28.18</v>
      </c>
      <c r="BG594" s="7">
        <v>-1</v>
      </c>
      <c r="BH594" s="7">
        <v>-1</v>
      </c>
      <c r="BI594" s="7"/>
      <c r="BJ594" s="4"/>
      <c r="BK594" s="8"/>
      <c r="BL594" s="2" t="s">
        <v>1988</v>
      </c>
      <c r="BM594" s="7"/>
      <c r="BN594" s="7"/>
      <c r="BO594" s="4"/>
      <c r="BP594" s="8"/>
      <c r="BQ594" s="4">
        <v>2</v>
      </c>
      <c r="BR594" s="8">
        <v>28.18</v>
      </c>
      <c r="BS594" s="7">
        <v>-1</v>
      </c>
      <c r="BT594" s="7">
        <v>-1</v>
      </c>
      <c r="BU594" s="2" t="s">
        <v>211</v>
      </c>
      <c r="BV594" s="2" t="s">
        <v>352</v>
      </c>
      <c r="BW594" s="2" t="s">
        <v>579</v>
      </c>
      <c r="BX594" s="2" t="s">
        <v>1989</v>
      </c>
      <c r="BY594" s="2" t="s">
        <v>111</v>
      </c>
    </row>
    <row r="595">
      <c r="A595" s="2" t="s">
        <v>1990</v>
      </c>
      <c r="B595" s="2" t="s">
        <v>86</v>
      </c>
      <c r="C595" s="2" t="s">
        <v>87</v>
      </c>
      <c r="D595" s="2" t="s">
        <v>1984</v>
      </c>
      <c r="E595" s="2" t="s">
        <v>1991</v>
      </c>
      <c r="F595" s="2" t="s">
        <v>1766</v>
      </c>
      <c r="G595" s="2" t="s">
        <v>1767</v>
      </c>
      <c r="H595" s="2" t="s">
        <v>1768</v>
      </c>
      <c r="I595" s="2" t="s">
        <v>1992</v>
      </c>
      <c r="J595" s="2" t="s">
        <v>1993</v>
      </c>
      <c r="K595" s="2" t="s">
        <v>455</v>
      </c>
      <c r="L595" s="3">
        <v>33.6</v>
      </c>
      <c r="M595" s="3">
        <v>35.28</v>
      </c>
      <c r="N595" s="3">
        <v>69.99</v>
      </c>
      <c r="O595" s="2" t="s">
        <v>368</v>
      </c>
      <c r="P595" s="2" t="s">
        <v>215</v>
      </c>
      <c r="Q595" s="2" t="s">
        <v>97</v>
      </c>
      <c r="R595" s="2" t="s">
        <v>98</v>
      </c>
      <c r="S595" s="2" t="s">
        <v>1994</v>
      </c>
      <c r="T595" s="2" t="s">
        <v>98</v>
      </c>
      <c r="U595" s="2" t="s">
        <v>98</v>
      </c>
      <c r="V595" s="2" t="s">
        <v>1416</v>
      </c>
      <c r="W595" s="2" t="s">
        <v>335</v>
      </c>
      <c r="X595" s="2" t="s">
        <v>98</v>
      </c>
      <c r="Y595" s="2" t="s">
        <v>104</v>
      </c>
      <c r="Z595" s="4"/>
      <c r="AA595" s="4">
        <f>=ROUNDDOWN({0},0)</f>
      </c>
      <c r="AB595" s="5"/>
      <c r="AC595" s="2" t="s">
        <v>98</v>
      </c>
      <c r="AD595" s="4"/>
      <c r="AE595" s="4"/>
      <c r="AF595" s="6"/>
      <c r="AG595" s="6"/>
      <c r="AH595" s="7">
        <v>0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>
        <v>3</v>
      </c>
      <c r="AS595" s="8">
        <v>102.87</v>
      </c>
      <c r="AT595" s="7">
        <v>-1</v>
      </c>
      <c r="AU595" s="7">
        <v>-1</v>
      </c>
      <c r="AV595" s="4"/>
      <c r="AW595" s="8"/>
      <c r="AX595" s="4">
        <v>3</v>
      </c>
      <c r="AY595" s="8">
        <v>102.87</v>
      </c>
      <c r="AZ595" s="7">
        <v>-1</v>
      </c>
      <c r="BA595" s="7">
        <v>-1</v>
      </c>
      <c r="BB595" s="7"/>
      <c r="BC595" s="4"/>
      <c r="BD595" s="8"/>
      <c r="BE595" s="4">
        <v>3</v>
      </c>
      <c r="BF595" s="8">
        <v>102.87</v>
      </c>
      <c r="BG595" s="7">
        <v>-1</v>
      </c>
      <c r="BH595" s="7">
        <v>-1</v>
      </c>
      <c r="BI595" s="7"/>
      <c r="BJ595" s="4"/>
      <c r="BK595" s="8"/>
      <c r="BL595" s="2" t="s">
        <v>1995</v>
      </c>
      <c r="BM595" s="7"/>
      <c r="BN595" s="7"/>
      <c r="BO595" s="4"/>
      <c r="BP595" s="8"/>
      <c r="BQ595" s="4">
        <v>3</v>
      </c>
      <c r="BR595" s="8">
        <v>102.87</v>
      </c>
      <c r="BS595" s="7">
        <v>-1</v>
      </c>
      <c r="BT595" s="7">
        <v>-1</v>
      </c>
      <c r="BU595" s="2" t="s">
        <v>211</v>
      </c>
      <c r="BV595" s="2" t="s">
        <v>352</v>
      </c>
      <c r="BW595" s="2" t="s">
        <v>579</v>
      </c>
      <c r="BX595" s="2" t="s">
        <v>1996</v>
      </c>
      <c r="BY595" s="2" t="s">
        <v>111</v>
      </c>
    </row>
    <row r="596">
      <c r="A596" s="2" t="s">
        <v>1997</v>
      </c>
      <c r="B596" s="2" t="s">
        <v>86</v>
      </c>
      <c r="C596" s="2" t="s">
        <v>87</v>
      </c>
      <c r="D596" s="2" t="s">
        <v>1984</v>
      </c>
      <c r="E596" s="2" t="s">
        <v>1991</v>
      </c>
      <c r="F596" s="2" t="s">
        <v>1728</v>
      </c>
      <c r="G596" s="2" t="s">
        <v>1729</v>
      </c>
      <c r="H596" s="2" t="s">
        <v>1730</v>
      </c>
      <c r="I596" s="2" t="s">
        <v>1998</v>
      </c>
      <c r="J596" s="2" t="s">
        <v>1993</v>
      </c>
      <c r="K596" s="2" t="s">
        <v>299</v>
      </c>
      <c r="L596" s="3">
        <v>41.24</v>
      </c>
      <c r="M596" s="3">
        <v>43.3</v>
      </c>
      <c r="N596" s="3">
        <v>84.99</v>
      </c>
      <c r="O596" s="2" t="s">
        <v>368</v>
      </c>
      <c r="P596" s="2" t="s">
        <v>215</v>
      </c>
      <c r="Q596" s="2" t="s">
        <v>97</v>
      </c>
      <c r="R596" s="2" t="s">
        <v>98</v>
      </c>
      <c r="S596" s="2" t="s">
        <v>1733</v>
      </c>
      <c r="T596" s="2" t="s">
        <v>98</v>
      </c>
      <c r="U596" s="2" t="s">
        <v>98</v>
      </c>
      <c r="V596" s="2" t="s">
        <v>101</v>
      </c>
      <c r="W596" s="2" t="s">
        <v>567</v>
      </c>
      <c r="X596" s="2" t="s">
        <v>98</v>
      </c>
      <c r="Y596" s="2" t="s">
        <v>104</v>
      </c>
      <c r="Z596" s="4"/>
      <c r="AA596" s="4">
        <f>=ROUNDDOWN({0},0)</f>
      </c>
      <c r="AB596" s="5"/>
      <c r="AC596" s="2" t="s">
        <v>98</v>
      </c>
      <c r="AD596" s="4"/>
      <c r="AE596" s="4"/>
      <c r="AF596" s="6"/>
      <c r="AG596" s="6"/>
      <c r="AH596" s="7">
        <v>0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>
        <v>2</v>
      </c>
      <c r="AS596" s="8">
        <v>68.58</v>
      </c>
      <c r="AT596" s="7">
        <v>-1</v>
      </c>
      <c r="AU596" s="7">
        <v>-1</v>
      </c>
      <c r="AV596" s="4"/>
      <c r="AW596" s="8"/>
      <c r="AX596" s="4">
        <v>2</v>
      </c>
      <c r="AY596" s="8">
        <v>68.58</v>
      </c>
      <c r="AZ596" s="7">
        <v>-1</v>
      </c>
      <c r="BA596" s="7">
        <v>-1</v>
      </c>
      <c r="BB596" s="7"/>
      <c r="BC596" s="4"/>
      <c r="BD596" s="8"/>
      <c r="BE596" s="4">
        <v>2</v>
      </c>
      <c r="BF596" s="8">
        <v>68.58</v>
      </c>
      <c r="BG596" s="7">
        <v>-1</v>
      </c>
      <c r="BH596" s="7">
        <v>-1</v>
      </c>
      <c r="BI596" s="7"/>
      <c r="BJ596" s="4"/>
      <c r="BK596" s="8"/>
      <c r="BL596" s="2" t="s">
        <v>1999</v>
      </c>
      <c r="BM596" s="7"/>
      <c r="BN596" s="7"/>
      <c r="BO596" s="4"/>
      <c r="BP596" s="8"/>
      <c r="BQ596" s="4">
        <v>2</v>
      </c>
      <c r="BR596" s="8">
        <v>68.58</v>
      </c>
      <c r="BS596" s="7">
        <v>-1</v>
      </c>
      <c r="BT596" s="7">
        <v>-1</v>
      </c>
      <c r="BU596" s="2" t="s">
        <v>211</v>
      </c>
      <c r="BV596" s="2" t="s">
        <v>352</v>
      </c>
      <c r="BW596" s="2" t="s">
        <v>579</v>
      </c>
      <c r="BX596" s="2" t="s">
        <v>2000</v>
      </c>
      <c r="BY596" s="2" t="s">
        <v>111</v>
      </c>
    </row>
    <row r="597">
      <c r="A597" s="2" t="s">
        <v>2001</v>
      </c>
      <c r="B597" s="2" t="s">
        <v>86</v>
      </c>
      <c r="C597" s="2" t="s">
        <v>87</v>
      </c>
      <c r="D597" s="2" t="s">
        <v>2002</v>
      </c>
      <c r="E597" s="2" t="s">
        <v>2003</v>
      </c>
      <c r="F597" s="2" t="s">
        <v>793</v>
      </c>
      <c r="G597" s="2" t="s">
        <v>2004</v>
      </c>
      <c r="H597" s="2" t="s">
        <v>795</v>
      </c>
      <c r="I597" s="2" t="s">
        <v>2005</v>
      </c>
      <c r="J597" s="2" t="s">
        <v>2006</v>
      </c>
      <c r="K597" s="2" t="s">
        <v>312</v>
      </c>
      <c r="L597" s="3">
        <v>18.25</v>
      </c>
      <c r="M597" s="3">
        <v>19.16</v>
      </c>
      <c r="N597" s="3">
        <v>39.99</v>
      </c>
      <c r="O597" s="2" t="s">
        <v>368</v>
      </c>
      <c r="P597" s="2" t="s">
        <v>215</v>
      </c>
      <c r="Q597" s="2" t="s">
        <v>97</v>
      </c>
      <c r="R597" s="2" t="s">
        <v>98</v>
      </c>
      <c r="S597" s="2" t="s">
        <v>2007</v>
      </c>
      <c r="T597" s="2" t="s">
        <v>98</v>
      </c>
      <c r="U597" s="2" t="s">
        <v>98</v>
      </c>
      <c r="V597" s="2" t="s">
        <v>798</v>
      </c>
      <c r="W597" s="2" t="s">
        <v>649</v>
      </c>
      <c r="X597" s="2" t="s">
        <v>98</v>
      </c>
      <c r="Y597" s="2" t="s">
        <v>104</v>
      </c>
      <c r="Z597" s="4"/>
      <c r="AA597" s="4">
        <f>=ROUNDDOWN({0},0)</f>
      </c>
      <c r="AB597" s="5"/>
      <c r="AC597" s="2" t="s">
        <v>98</v>
      </c>
      <c r="AD597" s="4"/>
      <c r="AE597" s="4"/>
      <c r="AF597" s="6"/>
      <c r="AG597" s="6"/>
      <c r="AH597" s="7">
        <v>0.3667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>
        <v>58</v>
      </c>
      <c r="AS597" s="8">
        <v>904.22</v>
      </c>
      <c r="AT597" s="7">
        <v>-1</v>
      </c>
      <c r="AU597" s="7">
        <v>-1</v>
      </c>
      <c r="AV597" s="4"/>
      <c r="AW597" s="8"/>
      <c r="AX597" s="4">
        <v>58</v>
      </c>
      <c r="AY597" s="8">
        <v>904.22</v>
      </c>
      <c r="AZ597" s="7">
        <v>-1</v>
      </c>
      <c r="BA597" s="7">
        <v>-1</v>
      </c>
      <c r="BB597" s="7"/>
      <c r="BC597" s="4" t="s">
        <v>98</v>
      </c>
      <c r="BD597" s="8" t="s">
        <v>98</v>
      </c>
      <c r="BE597" s="4">
        <v>106</v>
      </c>
      <c r="BF597" s="8">
        <v>1652.54</v>
      </c>
      <c r="BG597" s="7" t="s">
        <v>98</v>
      </c>
      <c r="BH597" s="7" t="s">
        <v>98</v>
      </c>
      <c r="BI597" s="7"/>
      <c r="BJ597" s="4"/>
      <c r="BK597" s="8"/>
      <c r="BL597" s="2" t="s">
        <v>2008</v>
      </c>
      <c r="BM597" s="7"/>
      <c r="BN597" s="7"/>
      <c r="BO597" s="4"/>
      <c r="BP597" s="8"/>
      <c r="BQ597" s="4">
        <v>58</v>
      </c>
      <c r="BR597" s="8">
        <v>904.22</v>
      </c>
      <c r="BS597" s="7">
        <v>-1</v>
      </c>
      <c r="BT597" s="7">
        <v>-1</v>
      </c>
      <c r="BU597" s="2" t="s">
        <v>211</v>
      </c>
      <c r="BV597" s="2" t="s">
        <v>352</v>
      </c>
      <c r="BW597" s="2" t="s">
        <v>218</v>
      </c>
      <c r="BX597" s="2" t="s">
        <v>2009</v>
      </c>
      <c r="BY597" s="2" t="s">
        <v>111</v>
      </c>
    </row>
    <row r="598">
      <c r="A598" s="2" t="s">
        <v>2010</v>
      </c>
      <c r="B598" s="2" t="s">
        <v>86</v>
      </c>
      <c r="C598" s="2" t="s">
        <v>87</v>
      </c>
      <c r="D598" s="2" t="s">
        <v>2002</v>
      </c>
      <c r="E598" s="2" t="s">
        <v>2003</v>
      </c>
      <c r="F598" s="2" t="s">
        <v>793</v>
      </c>
      <c r="G598" s="2" t="s">
        <v>794</v>
      </c>
      <c r="H598" s="2" t="s">
        <v>795</v>
      </c>
      <c r="I598" s="2" t="s">
        <v>2005</v>
      </c>
      <c r="J598" s="2" t="s">
        <v>2006</v>
      </c>
      <c r="K598" s="2" t="s">
        <v>464</v>
      </c>
      <c r="L598" s="3">
        <v>18.25</v>
      </c>
      <c r="M598" s="3">
        <v>19.16</v>
      </c>
      <c r="N598" s="3">
        <v>39.99</v>
      </c>
      <c r="O598" s="2" t="s">
        <v>368</v>
      </c>
      <c r="P598" s="2" t="s">
        <v>215</v>
      </c>
      <c r="Q598" s="2" t="s">
        <v>97</v>
      </c>
      <c r="R598" s="2" t="s">
        <v>98</v>
      </c>
      <c r="S598" s="2" t="s">
        <v>804</v>
      </c>
      <c r="T598" s="2" t="s">
        <v>98</v>
      </c>
      <c r="U598" s="2" t="s">
        <v>98</v>
      </c>
      <c r="V598" s="2" t="s">
        <v>798</v>
      </c>
      <c r="W598" s="2" t="s">
        <v>649</v>
      </c>
      <c r="X598" s="2" t="s">
        <v>98</v>
      </c>
      <c r="Y598" s="2" t="s">
        <v>104</v>
      </c>
      <c r="Z598" s="4"/>
      <c r="AA598" s="4">
        <f>=ROUNDDOWN({0},0)</f>
      </c>
      <c r="AB598" s="5">
        <v>1</v>
      </c>
      <c r="AC598" s="2" t="s">
        <v>98</v>
      </c>
      <c r="AD598" s="4"/>
      <c r="AE598" s="4"/>
      <c r="AF598" s="6">
        <v>65</v>
      </c>
      <c r="AG598" s="6"/>
      <c r="AH598" s="7">
        <v>0.9444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>
        <v>48</v>
      </c>
      <c r="AS598" s="8">
        <v>748.32</v>
      </c>
      <c r="AT598" s="7">
        <v>-1</v>
      </c>
      <c r="AU598" s="7">
        <v>-1</v>
      </c>
      <c r="AV598" s="4"/>
      <c r="AW598" s="8"/>
      <c r="AX598" s="4">
        <v>48</v>
      </c>
      <c r="AY598" s="8">
        <v>748.32</v>
      </c>
      <c r="AZ598" s="7">
        <v>-1</v>
      </c>
      <c r="BA598" s="7">
        <v>-1</v>
      </c>
      <c r="BB598" s="7"/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/>
      <c r="BJ598" s="4"/>
      <c r="BK598" s="8"/>
      <c r="BL598" s="2" t="s">
        <v>727</v>
      </c>
      <c r="BM598" s="7"/>
      <c r="BN598" s="7"/>
      <c r="BO598" s="4"/>
      <c r="BP598" s="8"/>
      <c r="BQ598" s="4">
        <v>48</v>
      </c>
      <c r="BR598" s="8">
        <v>748.32</v>
      </c>
      <c r="BS598" s="7">
        <v>-1</v>
      </c>
      <c r="BT598" s="7">
        <v>-1</v>
      </c>
      <c r="BU598" s="2" t="s">
        <v>211</v>
      </c>
      <c r="BV598" s="2" t="s">
        <v>352</v>
      </c>
      <c r="BW598" s="2" t="s">
        <v>218</v>
      </c>
      <c r="BX598" s="2" t="s">
        <v>2011</v>
      </c>
      <c r="BY598" s="2" t="s">
        <v>111</v>
      </c>
    </row>
    <row r="599">
      <c r="A599" s="2" t="s">
        <v>2012</v>
      </c>
      <c r="B599" s="2" t="s">
        <v>86</v>
      </c>
      <c r="C599" s="2" t="s">
        <v>87</v>
      </c>
      <c r="D599" s="2" t="s">
        <v>2002</v>
      </c>
      <c r="E599" s="2" t="s">
        <v>2003</v>
      </c>
      <c r="F599" s="2" t="s">
        <v>1946</v>
      </c>
      <c r="G599" s="2" t="s">
        <v>1947</v>
      </c>
      <c r="H599" s="2" t="s">
        <v>1948</v>
      </c>
      <c r="I599" s="2" t="s">
        <v>2013</v>
      </c>
      <c r="J599" s="2" t="s">
        <v>2006</v>
      </c>
      <c r="K599" s="2" t="s">
        <v>464</v>
      </c>
      <c r="L599" s="3">
        <v>21.99</v>
      </c>
      <c r="M599" s="3">
        <v>23.09</v>
      </c>
      <c r="N599" s="3">
        <v>44.99</v>
      </c>
      <c r="O599" s="2" t="s">
        <v>368</v>
      </c>
      <c r="P599" s="2" t="s">
        <v>215</v>
      </c>
      <c r="Q599" s="2" t="s">
        <v>97</v>
      </c>
      <c r="R599" s="2" t="s">
        <v>98</v>
      </c>
      <c r="S599" s="2" t="s">
        <v>1950</v>
      </c>
      <c r="T599" s="2" t="s">
        <v>98</v>
      </c>
      <c r="U599" s="2" t="s">
        <v>98</v>
      </c>
      <c r="V599" s="2" t="s">
        <v>334</v>
      </c>
      <c r="W599" s="2" t="s">
        <v>1249</v>
      </c>
      <c r="X599" s="2" t="s">
        <v>98</v>
      </c>
      <c r="Y599" s="2" t="s">
        <v>104</v>
      </c>
      <c r="Z599" s="4"/>
      <c r="AA599" s="4">
        <f>=ROUNDDOWN({0},0)</f>
      </c>
      <c r="AB599" s="5"/>
      <c r="AC599" s="2" t="s">
        <v>98</v>
      </c>
      <c r="AD599" s="4"/>
      <c r="AE599" s="4"/>
      <c r="AF599" s="6"/>
      <c r="AG599" s="6"/>
      <c r="AH599" s="7">
        <v>0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>
        <v>71</v>
      </c>
      <c r="AS599" s="8">
        <v>1352.55</v>
      </c>
      <c r="AT599" s="7">
        <v>-1</v>
      </c>
      <c r="AU599" s="7">
        <v>-1</v>
      </c>
      <c r="AV599" s="4"/>
      <c r="AW599" s="8"/>
      <c r="AX599" s="4">
        <v>71</v>
      </c>
      <c r="AY599" s="8">
        <v>1352.55</v>
      </c>
      <c r="AZ599" s="7">
        <v>-1</v>
      </c>
      <c r="BA599" s="7">
        <v>-1</v>
      </c>
      <c r="BB599" s="7"/>
      <c r="BC599" s="4"/>
      <c r="BD599" s="8"/>
      <c r="BE599" s="4">
        <v>71</v>
      </c>
      <c r="BF599" s="8">
        <v>1352.55</v>
      </c>
      <c r="BG599" s="7">
        <v>-1</v>
      </c>
      <c r="BH599" s="7">
        <v>-1</v>
      </c>
      <c r="BI599" s="7"/>
      <c r="BJ599" s="4"/>
      <c r="BK599" s="8"/>
      <c r="BL599" s="2" t="s">
        <v>2014</v>
      </c>
      <c r="BM599" s="7"/>
      <c r="BN599" s="7"/>
      <c r="BO599" s="4"/>
      <c r="BP599" s="8"/>
      <c r="BQ599" s="4">
        <v>71</v>
      </c>
      <c r="BR599" s="8">
        <v>1352.55</v>
      </c>
      <c r="BS599" s="7">
        <v>-1</v>
      </c>
      <c r="BT599" s="7">
        <v>-1</v>
      </c>
      <c r="BU599" s="2" t="s">
        <v>211</v>
      </c>
      <c r="BV599" s="2" t="s">
        <v>352</v>
      </c>
      <c r="BW599" s="2" t="s">
        <v>651</v>
      </c>
      <c r="BX599" s="2" t="s">
        <v>337</v>
      </c>
      <c r="BY599" s="2" t="s">
        <v>111</v>
      </c>
    </row>
    <row r="600">
      <c r="A600" s="2" t="s">
        <v>2015</v>
      </c>
      <c r="B600" s="2" t="s">
        <v>86</v>
      </c>
      <c r="C600" s="2" t="s">
        <v>87</v>
      </c>
      <c r="D600" s="2" t="s">
        <v>2002</v>
      </c>
      <c r="E600" s="2" t="s">
        <v>2003</v>
      </c>
      <c r="F600" s="2" t="s">
        <v>612</v>
      </c>
      <c r="G600" s="2" t="s">
        <v>613</v>
      </c>
      <c r="H600" s="2" t="s">
        <v>614</v>
      </c>
      <c r="I600" s="2" t="s">
        <v>2016</v>
      </c>
      <c r="J600" s="2" t="s">
        <v>2006</v>
      </c>
      <c r="K600" s="2" t="s">
        <v>458</v>
      </c>
      <c r="L600" s="3">
        <v>22.5</v>
      </c>
      <c r="M600" s="3">
        <v>23.62</v>
      </c>
      <c r="N600" s="3">
        <v>44.99</v>
      </c>
      <c r="O600" s="2" t="s">
        <v>241</v>
      </c>
      <c r="P600" s="2" t="s">
        <v>215</v>
      </c>
      <c r="Q600" s="2" t="s">
        <v>97</v>
      </c>
      <c r="R600" s="2" t="s">
        <v>98</v>
      </c>
      <c r="S600" s="2" t="s">
        <v>628</v>
      </c>
      <c r="T600" s="2" t="s">
        <v>98</v>
      </c>
      <c r="U600" s="2" t="s">
        <v>98</v>
      </c>
      <c r="V600" s="2" t="s">
        <v>617</v>
      </c>
      <c r="W600" s="2" t="s">
        <v>335</v>
      </c>
      <c r="X600" s="2" t="s">
        <v>98</v>
      </c>
      <c r="Y600" s="2" t="s">
        <v>618</v>
      </c>
      <c r="Z600" s="4"/>
      <c r="AA600" s="4">
        <f>=ROUNDDOWN({0},0)</f>
      </c>
      <c r="AB600" s="5"/>
      <c r="AC600" s="2" t="s">
        <v>98</v>
      </c>
      <c r="AD600" s="4"/>
      <c r="AE600" s="4"/>
      <c r="AF600" s="6">
        <v>65</v>
      </c>
      <c r="AG600" s="6"/>
      <c r="AH600" s="7">
        <v>0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>
        <v>40</v>
      </c>
      <c r="AS600" s="8">
        <v>794</v>
      </c>
      <c r="AT600" s="7">
        <v>-1</v>
      </c>
      <c r="AU600" s="7">
        <v>-1</v>
      </c>
      <c r="AV600" s="4"/>
      <c r="AW600" s="8"/>
      <c r="AX600" s="4">
        <v>40</v>
      </c>
      <c r="AY600" s="8">
        <v>794</v>
      </c>
      <c r="AZ600" s="7">
        <v>-1</v>
      </c>
      <c r="BA600" s="7">
        <v>-1</v>
      </c>
      <c r="BB600" s="7"/>
      <c r="BC600" s="4" t="s">
        <v>98</v>
      </c>
      <c r="BD600" s="8" t="s">
        <v>98</v>
      </c>
      <c r="BE600" s="4">
        <v>43</v>
      </c>
      <c r="BF600" s="8">
        <v>853.55</v>
      </c>
      <c r="BG600" s="7" t="s">
        <v>98</v>
      </c>
      <c r="BH600" s="7" t="s">
        <v>98</v>
      </c>
      <c r="BI600" s="7"/>
      <c r="BJ600" s="4"/>
      <c r="BK600" s="8"/>
      <c r="BL600" s="2" t="s">
        <v>2017</v>
      </c>
      <c r="BM600" s="7"/>
      <c r="BN600" s="7"/>
      <c r="BO600" s="4"/>
      <c r="BP600" s="8"/>
      <c r="BQ600" s="4">
        <v>40</v>
      </c>
      <c r="BR600" s="8">
        <v>794</v>
      </c>
      <c r="BS600" s="7">
        <v>-1</v>
      </c>
      <c r="BT600" s="7">
        <v>-1</v>
      </c>
      <c r="BU600" s="2" t="s">
        <v>211</v>
      </c>
      <c r="BV600" s="2" t="s">
        <v>352</v>
      </c>
      <c r="BW600" s="2" t="s">
        <v>651</v>
      </c>
      <c r="BX600" s="2" t="s">
        <v>1275</v>
      </c>
      <c r="BY600" s="2" t="s">
        <v>111</v>
      </c>
    </row>
    <row r="601">
      <c r="A601" s="2" t="s">
        <v>2018</v>
      </c>
      <c r="B601" s="2" t="s">
        <v>86</v>
      </c>
      <c r="C601" s="2" t="s">
        <v>87</v>
      </c>
      <c r="D601" s="2" t="s">
        <v>2002</v>
      </c>
      <c r="E601" s="2" t="s">
        <v>2003</v>
      </c>
      <c r="F601" s="2" t="s">
        <v>612</v>
      </c>
      <c r="G601" s="2" t="s">
        <v>613</v>
      </c>
      <c r="H601" s="2" t="s">
        <v>614</v>
      </c>
      <c r="I601" s="2" t="s">
        <v>2016</v>
      </c>
      <c r="J601" s="2" t="s">
        <v>2006</v>
      </c>
      <c r="K601" s="2" t="s">
        <v>214</v>
      </c>
      <c r="L601" s="3">
        <v>22.5</v>
      </c>
      <c r="M601" s="3">
        <v>23.62</v>
      </c>
      <c r="N601" s="3">
        <v>44.99</v>
      </c>
      <c r="O601" s="2" t="s">
        <v>368</v>
      </c>
      <c r="P601" s="2" t="s">
        <v>215</v>
      </c>
      <c r="Q601" s="2" t="s">
        <v>97</v>
      </c>
      <c r="R601" s="2" t="s">
        <v>98</v>
      </c>
      <c r="S601" s="2" t="s">
        <v>616</v>
      </c>
      <c r="T601" s="2" t="s">
        <v>98</v>
      </c>
      <c r="U601" s="2" t="s">
        <v>98</v>
      </c>
      <c r="V601" s="2" t="s">
        <v>617</v>
      </c>
      <c r="W601" s="2" t="s">
        <v>335</v>
      </c>
      <c r="X601" s="2" t="s">
        <v>98</v>
      </c>
      <c r="Y601" s="2" t="s">
        <v>618</v>
      </c>
      <c r="Z601" s="4"/>
      <c r="AA601" s="4">
        <f>=ROUNDDOWN({0},0)</f>
      </c>
      <c r="AB601" s="5">
        <v>0.2</v>
      </c>
      <c r="AC601" s="2" t="s">
        <v>98</v>
      </c>
      <c r="AD601" s="4"/>
      <c r="AE601" s="4"/>
      <c r="AF601" s="6">
        <v>65</v>
      </c>
      <c r="AG601" s="6"/>
      <c r="AH601" s="7">
        <v>0.4222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>
        <v>3</v>
      </c>
      <c r="AS601" s="8">
        <v>59.55</v>
      </c>
      <c r="AT601" s="7">
        <v>-1</v>
      </c>
      <c r="AU601" s="7">
        <v>-1</v>
      </c>
      <c r="AV601" s="4"/>
      <c r="AW601" s="8"/>
      <c r="AX601" s="4">
        <v>3</v>
      </c>
      <c r="AY601" s="8">
        <v>59.55</v>
      </c>
      <c r="AZ601" s="7">
        <v>-1</v>
      </c>
      <c r="BA601" s="7">
        <v>-1</v>
      </c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/>
      <c r="BK601" s="8"/>
      <c r="BL601" s="2" t="s">
        <v>680</v>
      </c>
      <c r="BM601" s="7"/>
      <c r="BN601" s="7"/>
      <c r="BO601" s="4"/>
      <c r="BP601" s="8"/>
      <c r="BQ601" s="4">
        <v>3</v>
      </c>
      <c r="BR601" s="8">
        <v>59.55</v>
      </c>
      <c r="BS601" s="7">
        <v>-1</v>
      </c>
      <c r="BT601" s="7">
        <v>-1</v>
      </c>
      <c r="BU601" s="2" t="s">
        <v>211</v>
      </c>
      <c r="BV601" s="2" t="s">
        <v>352</v>
      </c>
      <c r="BW601" s="2" t="s">
        <v>651</v>
      </c>
      <c r="BX601" s="2" t="s">
        <v>337</v>
      </c>
      <c r="BY601" s="2" t="s">
        <v>111</v>
      </c>
    </row>
    <row r="602">
      <c r="A602" s="2" t="s">
        <v>2019</v>
      </c>
      <c r="B602" s="2" t="s">
        <v>86</v>
      </c>
      <c r="C602" s="2" t="s">
        <v>87</v>
      </c>
      <c r="D602" s="2" t="s">
        <v>2002</v>
      </c>
      <c r="E602" s="2" t="s">
        <v>2003</v>
      </c>
      <c r="F602" s="2" t="s">
        <v>2020</v>
      </c>
      <c r="G602" s="2" t="s">
        <v>2020</v>
      </c>
      <c r="H602" s="2" t="s">
        <v>2020</v>
      </c>
      <c r="I602" s="2" t="s">
        <v>2021</v>
      </c>
      <c r="J602" s="2" t="s">
        <v>2006</v>
      </c>
      <c r="K602" s="2" t="s">
        <v>94</v>
      </c>
      <c r="L602" s="3">
        <v>18</v>
      </c>
      <c r="M602" s="3">
        <v>18.9</v>
      </c>
      <c r="N602" s="3">
        <v>39.99</v>
      </c>
      <c r="O602" s="2" t="s">
        <v>368</v>
      </c>
      <c r="P602" s="2" t="s">
        <v>215</v>
      </c>
      <c r="Q602" s="2" t="s">
        <v>97</v>
      </c>
      <c r="R602" s="2" t="s">
        <v>98</v>
      </c>
      <c r="S602" s="2" t="s">
        <v>2022</v>
      </c>
      <c r="T602" s="2" t="s">
        <v>1672</v>
      </c>
      <c r="U602" s="2" t="s">
        <v>1494</v>
      </c>
      <c r="V602" s="2" t="s">
        <v>101</v>
      </c>
      <c r="W602" s="2" t="s">
        <v>2023</v>
      </c>
      <c r="X602" s="2" t="s">
        <v>2024</v>
      </c>
      <c r="Y602" s="2" t="s">
        <v>2025</v>
      </c>
      <c r="Z602" s="4"/>
      <c r="AA602" s="4">
        <f>=ROUNDDOWN({0},0)</f>
      </c>
      <c r="AB602" s="5"/>
      <c r="AC602" s="2" t="s">
        <v>98</v>
      </c>
      <c r="AD602" s="4"/>
      <c r="AE602" s="4"/>
      <c r="AF602" s="6"/>
      <c r="AG602" s="6"/>
      <c r="AH602" s="7">
        <v>0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>
        <v>13</v>
      </c>
      <c r="AS602" s="8">
        <v>238.81</v>
      </c>
      <c r="AT602" s="7">
        <v>-1</v>
      </c>
      <c r="AU602" s="7">
        <v>-1</v>
      </c>
      <c r="AV602" s="4"/>
      <c r="AW602" s="8"/>
      <c r="AX602" s="4">
        <v>13</v>
      </c>
      <c r="AY602" s="8">
        <v>238.81</v>
      </c>
      <c r="AZ602" s="7">
        <v>-1</v>
      </c>
      <c r="BA602" s="7">
        <v>-1</v>
      </c>
      <c r="BB602" s="7"/>
      <c r="BC602" s="4"/>
      <c r="BD602" s="8"/>
      <c r="BE602" s="4">
        <v>13</v>
      </c>
      <c r="BF602" s="8">
        <v>238.81</v>
      </c>
      <c r="BG602" s="7">
        <v>-1</v>
      </c>
      <c r="BH602" s="7">
        <v>-1</v>
      </c>
      <c r="BI602" s="7"/>
      <c r="BJ602" s="4"/>
      <c r="BK602" s="8"/>
      <c r="BL602" s="2" t="s">
        <v>1771</v>
      </c>
      <c r="BM602" s="7"/>
      <c r="BN602" s="7"/>
      <c r="BO602" s="4"/>
      <c r="BP602" s="8"/>
      <c r="BQ602" s="4">
        <v>13</v>
      </c>
      <c r="BR602" s="8">
        <v>238.81</v>
      </c>
      <c r="BS602" s="7">
        <v>-1</v>
      </c>
      <c r="BT602" s="7">
        <v>-1</v>
      </c>
      <c r="BU602" s="2" t="s">
        <v>211</v>
      </c>
      <c r="BV602" s="2" t="s">
        <v>352</v>
      </c>
      <c r="BW602" s="2" t="s">
        <v>579</v>
      </c>
      <c r="BX602" s="2" t="s">
        <v>2026</v>
      </c>
      <c r="BY602" s="2" t="s">
        <v>111</v>
      </c>
    </row>
    <row r="603">
      <c r="A603" s="2" t="s">
        <v>2027</v>
      </c>
      <c r="B603" s="2" t="s">
        <v>86</v>
      </c>
      <c r="C603" s="2" t="s">
        <v>87</v>
      </c>
      <c r="D603" s="2" t="s">
        <v>2002</v>
      </c>
      <c r="E603" s="2" t="s">
        <v>2003</v>
      </c>
      <c r="F603" s="2" t="s">
        <v>807</v>
      </c>
      <c r="G603" s="2" t="s">
        <v>808</v>
      </c>
      <c r="H603" s="2" t="s">
        <v>90</v>
      </c>
      <c r="I603" s="2" t="s">
        <v>2028</v>
      </c>
      <c r="J603" s="2" t="s">
        <v>2029</v>
      </c>
      <c r="K603" s="2" t="s">
        <v>458</v>
      </c>
      <c r="L603" s="3">
        <v>15.75</v>
      </c>
      <c r="M603" s="3">
        <v>16.53</v>
      </c>
      <c r="N603" s="3">
        <v>34.99</v>
      </c>
      <c r="O603" s="2" t="s">
        <v>368</v>
      </c>
      <c r="P603" s="2" t="s">
        <v>215</v>
      </c>
      <c r="Q603" s="2" t="s">
        <v>97</v>
      </c>
      <c r="R603" s="2" t="s">
        <v>98</v>
      </c>
      <c r="S603" s="2" t="s">
        <v>810</v>
      </c>
      <c r="T603" s="2" t="s">
        <v>98</v>
      </c>
      <c r="U603" s="2" t="s">
        <v>98</v>
      </c>
      <c r="V603" s="2" t="s">
        <v>617</v>
      </c>
      <c r="W603" s="2" t="s">
        <v>98</v>
      </c>
      <c r="X603" s="2" t="s">
        <v>98</v>
      </c>
      <c r="Y603" s="2" t="s">
        <v>104</v>
      </c>
      <c r="Z603" s="4"/>
      <c r="AA603" s="4">
        <f>=ROUNDDOWN({0},0)</f>
      </c>
      <c r="AB603" s="5"/>
      <c r="AC603" s="2" t="s">
        <v>98</v>
      </c>
      <c r="AD603" s="4"/>
      <c r="AE603" s="4"/>
      <c r="AF603" s="6"/>
      <c r="AG603" s="6"/>
      <c r="AH603" s="7">
        <v>0.3667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>
        <v>4</v>
      </c>
      <c r="AS603" s="8">
        <v>65.48</v>
      </c>
      <c r="AT603" s="7">
        <v>-1</v>
      </c>
      <c r="AU603" s="7">
        <v>-1</v>
      </c>
      <c r="AV603" s="4" t="s">
        <v>98</v>
      </c>
      <c r="AW603" s="8" t="s">
        <v>98</v>
      </c>
      <c r="AX603" s="4">
        <v>29</v>
      </c>
      <c r="AY603" s="8">
        <v>585.23</v>
      </c>
      <c r="AZ603" s="7" t="s">
        <v>98</v>
      </c>
      <c r="BA603" s="7" t="s">
        <v>98</v>
      </c>
      <c r="BB603" s="7"/>
      <c r="BC603" s="4" t="s">
        <v>98</v>
      </c>
      <c r="BD603" s="8" t="s">
        <v>98</v>
      </c>
      <c r="BE603" s="4">
        <v>104</v>
      </c>
      <c r="BF603" s="8">
        <v>2011.88</v>
      </c>
      <c r="BG603" s="7" t="s">
        <v>98</v>
      </c>
      <c r="BH603" s="7" t="s">
        <v>98</v>
      </c>
      <c r="BI603" s="7"/>
      <c r="BJ603" s="4"/>
      <c r="BK603" s="8"/>
      <c r="BL603" s="2" t="s">
        <v>2030</v>
      </c>
      <c r="BM603" s="7"/>
      <c r="BN603" s="7"/>
      <c r="BO603" s="4"/>
      <c r="BP603" s="8"/>
      <c r="BQ603" s="4">
        <v>4</v>
      </c>
      <c r="BR603" s="8">
        <v>65.48</v>
      </c>
      <c r="BS603" s="7">
        <v>-1</v>
      </c>
      <c r="BT603" s="7">
        <v>-1</v>
      </c>
      <c r="BU603" s="2" t="s">
        <v>211</v>
      </c>
      <c r="BV603" s="2" t="s">
        <v>352</v>
      </c>
      <c r="BW603" s="2" t="s">
        <v>218</v>
      </c>
      <c r="BX603" s="2" t="s">
        <v>280</v>
      </c>
      <c r="BY603" s="2" t="s">
        <v>111</v>
      </c>
    </row>
    <row r="604">
      <c r="A604" s="2" t="s">
        <v>2031</v>
      </c>
      <c r="B604" s="2" t="s">
        <v>86</v>
      </c>
      <c r="C604" s="2" t="s">
        <v>87</v>
      </c>
      <c r="D604" s="2" t="s">
        <v>2002</v>
      </c>
      <c r="E604" s="2" t="s">
        <v>2003</v>
      </c>
      <c r="F604" s="2" t="s">
        <v>807</v>
      </c>
      <c r="G604" s="2" t="s">
        <v>808</v>
      </c>
      <c r="H604" s="2" t="s">
        <v>90</v>
      </c>
      <c r="I604" s="2" t="s">
        <v>2032</v>
      </c>
      <c r="J604" s="2" t="s">
        <v>2006</v>
      </c>
      <c r="K604" s="2" t="s">
        <v>458</v>
      </c>
      <c r="L604" s="3">
        <v>20</v>
      </c>
      <c r="M604" s="3">
        <v>21</v>
      </c>
      <c r="N604" s="3">
        <v>39.99</v>
      </c>
      <c r="O604" s="2" t="s">
        <v>368</v>
      </c>
      <c r="P604" s="2" t="s">
        <v>215</v>
      </c>
      <c r="Q604" s="2" t="s">
        <v>97</v>
      </c>
      <c r="R604" s="2" t="s">
        <v>98</v>
      </c>
      <c r="S604" s="2" t="s">
        <v>810</v>
      </c>
      <c r="T604" s="2" t="s">
        <v>98</v>
      </c>
      <c r="U604" s="2" t="s">
        <v>98</v>
      </c>
      <c r="V604" s="2" t="s">
        <v>334</v>
      </c>
      <c r="W604" s="2" t="s">
        <v>335</v>
      </c>
      <c r="X604" s="2" t="s">
        <v>98</v>
      </c>
      <c r="Y604" s="2" t="s">
        <v>104</v>
      </c>
      <c r="Z604" s="4"/>
      <c r="AA604" s="4">
        <f>=ROUNDDOWN({0},0)</f>
      </c>
      <c r="AB604" s="5"/>
      <c r="AC604" s="2" t="s">
        <v>98</v>
      </c>
      <c r="AD604" s="4"/>
      <c r="AE604" s="4"/>
      <c r="AF604" s="6"/>
      <c r="AG604" s="6"/>
      <c r="AH604" s="7">
        <v>0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>
        <v>25</v>
      </c>
      <c r="AS604" s="8">
        <v>519.75</v>
      </c>
      <c r="AT604" s="7">
        <v>-1</v>
      </c>
      <c r="AU604" s="7">
        <v>-1</v>
      </c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/>
      <c r="BK604" s="8"/>
      <c r="BL604" s="2" t="s">
        <v>2033</v>
      </c>
      <c r="BM604" s="7"/>
      <c r="BN604" s="7"/>
      <c r="BO604" s="4"/>
      <c r="BP604" s="8"/>
      <c r="BQ604" s="4">
        <v>25</v>
      </c>
      <c r="BR604" s="8">
        <v>519.75</v>
      </c>
      <c r="BS604" s="7">
        <v>-1</v>
      </c>
      <c r="BT604" s="7">
        <v>-1</v>
      </c>
      <c r="BU604" s="2" t="s">
        <v>211</v>
      </c>
      <c r="BV604" s="2" t="s">
        <v>352</v>
      </c>
      <c r="BW604" s="2" t="s">
        <v>218</v>
      </c>
      <c r="BX604" s="2" t="s">
        <v>184</v>
      </c>
      <c r="BY604" s="2" t="s">
        <v>111</v>
      </c>
    </row>
    <row r="605">
      <c r="A605" s="2" t="s">
        <v>2034</v>
      </c>
      <c r="B605" s="2" t="s">
        <v>86</v>
      </c>
      <c r="C605" s="2" t="s">
        <v>87</v>
      </c>
      <c r="D605" s="2" t="s">
        <v>2002</v>
      </c>
      <c r="E605" s="2" t="s">
        <v>2003</v>
      </c>
      <c r="F605" s="2" t="s">
        <v>807</v>
      </c>
      <c r="G605" s="2" t="s">
        <v>808</v>
      </c>
      <c r="H605" s="2" t="s">
        <v>90</v>
      </c>
      <c r="I605" s="2" t="s">
        <v>2028</v>
      </c>
      <c r="J605" s="2" t="s">
        <v>2029</v>
      </c>
      <c r="K605" s="2" t="s">
        <v>455</v>
      </c>
      <c r="L605" s="3">
        <v>15.75</v>
      </c>
      <c r="M605" s="3">
        <v>16.53</v>
      </c>
      <c r="N605" s="3">
        <v>34.99</v>
      </c>
      <c r="O605" s="2" t="s">
        <v>368</v>
      </c>
      <c r="P605" s="2" t="s">
        <v>215</v>
      </c>
      <c r="Q605" s="2" t="s">
        <v>97</v>
      </c>
      <c r="R605" s="2" t="s">
        <v>98</v>
      </c>
      <c r="S605" s="2" t="s">
        <v>818</v>
      </c>
      <c r="T605" s="2" t="s">
        <v>98</v>
      </c>
      <c r="U605" s="2" t="s">
        <v>98</v>
      </c>
      <c r="V605" s="2" t="s">
        <v>617</v>
      </c>
      <c r="W605" s="2" t="s">
        <v>98</v>
      </c>
      <c r="X605" s="2" t="s">
        <v>98</v>
      </c>
      <c r="Y605" s="2" t="s">
        <v>104</v>
      </c>
      <c r="Z605" s="4"/>
      <c r="AA605" s="4">
        <f>=ROUNDDOWN({0},0)</f>
      </c>
      <c r="AB605" s="5"/>
      <c r="AC605" s="2" t="s">
        <v>98</v>
      </c>
      <c r="AD605" s="4"/>
      <c r="AE605" s="4"/>
      <c r="AF605" s="6"/>
      <c r="AG605" s="6"/>
      <c r="AH605" s="7">
        <v>0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>
        <v>30</v>
      </c>
      <c r="AS605" s="8">
        <v>491.1</v>
      </c>
      <c r="AT605" s="7">
        <v>-1</v>
      </c>
      <c r="AU605" s="7">
        <v>-1</v>
      </c>
      <c r="AV605" s="4" t="s">
        <v>98</v>
      </c>
      <c r="AW605" s="8" t="s">
        <v>98</v>
      </c>
      <c r="AX605" s="4">
        <v>75</v>
      </c>
      <c r="AY605" s="8">
        <v>1426.65</v>
      </c>
      <c r="AZ605" s="7" t="s">
        <v>98</v>
      </c>
      <c r="BA605" s="7" t="s">
        <v>98</v>
      </c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/>
      <c r="BK605" s="8"/>
      <c r="BL605" s="2" t="s">
        <v>2035</v>
      </c>
      <c r="BM605" s="7"/>
      <c r="BN605" s="7"/>
      <c r="BO605" s="4"/>
      <c r="BP605" s="8"/>
      <c r="BQ605" s="4">
        <v>30</v>
      </c>
      <c r="BR605" s="8">
        <v>491.1</v>
      </c>
      <c r="BS605" s="7">
        <v>-1</v>
      </c>
      <c r="BT605" s="7">
        <v>-1</v>
      </c>
      <c r="BU605" s="2" t="s">
        <v>211</v>
      </c>
      <c r="BV605" s="2" t="s">
        <v>352</v>
      </c>
      <c r="BW605" s="2" t="s">
        <v>218</v>
      </c>
      <c r="BX605" s="2" t="s">
        <v>222</v>
      </c>
      <c r="BY605" s="2" t="s">
        <v>111</v>
      </c>
    </row>
    <row r="606">
      <c r="A606" s="2" t="s">
        <v>2036</v>
      </c>
      <c r="B606" s="2" t="s">
        <v>86</v>
      </c>
      <c r="C606" s="2" t="s">
        <v>87</v>
      </c>
      <c r="D606" s="2" t="s">
        <v>2002</v>
      </c>
      <c r="E606" s="2" t="s">
        <v>2003</v>
      </c>
      <c r="F606" s="2" t="s">
        <v>807</v>
      </c>
      <c r="G606" s="2" t="s">
        <v>808</v>
      </c>
      <c r="H606" s="2" t="s">
        <v>90</v>
      </c>
      <c r="I606" s="2" t="s">
        <v>2032</v>
      </c>
      <c r="J606" s="2" t="s">
        <v>2006</v>
      </c>
      <c r="K606" s="2" t="s">
        <v>455</v>
      </c>
      <c r="L606" s="3">
        <v>20</v>
      </c>
      <c r="M606" s="3">
        <v>21</v>
      </c>
      <c r="N606" s="3">
        <v>39.99</v>
      </c>
      <c r="O606" s="2" t="s">
        <v>368</v>
      </c>
      <c r="P606" s="2" t="s">
        <v>215</v>
      </c>
      <c r="Q606" s="2" t="s">
        <v>97</v>
      </c>
      <c r="R606" s="2" t="s">
        <v>98</v>
      </c>
      <c r="S606" s="2" t="s">
        <v>818</v>
      </c>
      <c r="T606" s="2" t="s">
        <v>98</v>
      </c>
      <c r="U606" s="2" t="s">
        <v>98</v>
      </c>
      <c r="V606" s="2" t="s">
        <v>334</v>
      </c>
      <c r="W606" s="2" t="s">
        <v>335</v>
      </c>
      <c r="X606" s="2" t="s">
        <v>98</v>
      </c>
      <c r="Y606" s="2" t="s">
        <v>104</v>
      </c>
      <c r="Z606" s="4"/>
      <c r="AA606" s="4">
        <f>=ROUNDDOWN({0},0)</f>
      </c>
      <c r="AB606" s="5"/>
      <c r="AC606" s="2" t="s">
        <v>98</v>
      </c>
      <c r="AD606" s="4"/>
      <c r="AE606" s="4"/>
      <c r="AF606" s="6"/>
      <c r="AG606" s="6"/>
      <c r="AH606" s="7">
        <v>0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>
        <v>45</v>
      </c>
      <c r="AS606" s="8">
        <v>935.55</v>
      </c>
      <c r="AT606" s="7">
        <v>-1</v>
      </c>
      <c r="AU606" s="7">
        <v>-1</v>
      </c>
      <c r="AV606" s="4" t="s">
        <v>98</v>
      </c>
      <c r="AW606" s="8" t="s">
        <v>98</v>
      </c>
      <c r="AX606" s="4" t="s">
        <v>98</v>
      </c>
      <c r="AY606" s="8" t="s">
        <v>98</v>
      </c>
      <c r="AZ606" s="7" t="s">
        <v>98</v>
      </c>
      <c r="BA606" s="7" t="s">
        <v>98</v>
      </c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/>
      <c r="BK606" s="8"/>
      <c r="BL606" s="2" t="s">
        <v>2035</v>
      </c>
      <c r="BM606" s="7"/>
      <c r="BN606" s="7"/>
      <c r="BO606" s="4"/>
      <c r="BP606" s="8"/>
      <c r="BQ606" s="4">
        <v>45</v>
      </c>
      <c r="BR606" s="8">
        <v>935.55</v>
      </c>
      <c r="BS606" s="7">
        <v>-1</v>
      </c>
      <c r="BT606" s="7">
        <v>-1</v>
      </c>
      <c r="BU606" s="2" t="s">
        <v>211</v>
      </c>
      <c r="BV606" s="2" t="s">
        <v>352</v>
      </c>
      <c r="BW606" s="2" t="s">
        <v>218</v>
      </c>
      <c r="BX606" s="2" t="s">
        <v>190</v>
      </c>
      <c r="BY606" s="2" t="s">
        <v>111</v>
      </c>
    </row>
    <row r="607">
      <c r="A607" s="2" t="s">
        <v>2037</v>
      </c>
      <c r="B607" s="2" t="s">
        <v>86</v>
      </c>
      <c r="C607" s="2" t="s">
        <v>87</v>
      </c>
      <c r="D607" s="2" t="s">
        <v>2002</v>
      </c>
      <c r="E607" s="2" t="s">
        <v>2003</v>
      </c>
      <c r="F607" s="2" t="s">
        <v>2038</v>
      </c>
      <c r="G607" s="2" t="s">
        <v>2039</v>
      </c>
      <c r="H607" s="2" t="s">
        <v>2040</v>
      </c>
      <c r="I607" s="2" t="s">
        <v>2041</v>
      </c>
      <c r="J607" s="2" t="s">
        <v>2006</v>
      </c>
      <c r="K607" s="2" t="s">
        <v>530</v>
      </c>
      <c r="L607" s="3">
        <v>21.99</v>
      </c>
      <c r="M607" s="3">
        <v>23.09</v>
      </c>
      <c r="N607" s="3">
        <v>44.99</v>
      </c>
      <c r="O607" s="2" t="s">
        <v>368</v>
      </c>
      <c r="P607" s="2" t="s">
        <v>215</v>
      </c>
      <c r="Q607" s="2" t="s">
        <v>97</v>
      </c>
      <c r="R607" s="2" t="s">
        <v>98</v>
      </c>
      <c r="S607" s="2" t="s">
        <v>2042</v>
      </c>
      <c r="T607" s="2" t="s">
        <v>98</v>
      </c>
      <c r="U607" s="2" t="s">
        <v>98</v>
      </c>
      <c r="V607" s="2" t="s">
        <v>1249</v>
      </c>
      <c r="W607" s="2" t="s">
        <v>1249</v>
      </c>
      <c r="X607" s="2" t="s">
        <v>98</v>
      </c>
      <c r="Y607" s="2" t="s">
        <v>104</v>
      </c>
      <c r="Z607" s="4"/>
      <c r="AA607" s="4">
        <f>=ROUNDDOWN({0},0)</f>
      </c>
      <c r="AB607" s="5"/>
      <c r="AC607" s="2" t="s">
        <v>98</v>
      </c>
      <c r="AD607" s="4"/>
      <c r="AE607" s="4"/>
      <c r="AF607" s="6"/>
      <c r="AG607" s="6"/>
      <c r="AH607" s="7">
        <v>0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>
        <v>22</v>
      </c>
      <c r="AS607" s="8">
        <v>419.1</v>
      </c>
      <c r="AT607" s="7">
        <v>-1</v>
      </c>
      <c r="AU607" s="7">
        <v>-1</v>
      </c>
      <c r="AV607" s="4"/>
      <c r="AW607" s="8"/>
      <c r="AX607" s="4">
        <v>22</v>
      </c>
      <c r="AY607" s="8">
        <v>419.1</v>
      </c>
      <c r="AZ607" s="7">
        <v>-1</v>
      </c>
      <c r="BA607" s="7">
        <v>-1</v>
      </c>
      <c r="BB607" s="7"/>
      <c r="BC607" s="4"/>
      <c r="BD607" s="8"/>
      <c r="BE607" s="4">
        <v>22</v>
      </c>
      <c r="BF607" s="8">
        <v>419.1</v>
      </c>
      <c r="BG607" s="7">
        <v>-1</v>
      </c>
      <c r="BH607" s="7">
        <v>-1</v>
      </c>
      <c r="BI607" s="7"/>
      <c r="BJ607" s="4"/>
      <c r="BK607" s="8"/>
      <c r="BL607" s="2" t="s">
        <v>2043</v>
      </c>
      <c r="BM607" s="7"/>
      <c r="BN607" s="7"/>
      <c r="BO607" s="4"/>
      <c r="BP607" s="8"/>
      <c r="BQ607" s="4">
        <v>22</v>
      </c>
      <c r="BR607" s="8">
        <v>419.1</v>
      </c>
      <c r="BS607" s="7">
        <v>-1</v>
      </c>
      <c r="BT607" s="7">
        <v>-1</v>
      </c>
      <c r="BU607" s="2" t="s">
        <v>211</v>
      </c>
      <c r="BV607" s="2" t="s">
        <v>352</v>
      </c>
      <c r="BW607" s="2" t="s">
        <v>651</v>
      </c>
      <c r="BX607" s="2" t="s">
        <v>384</v>
      </c>
      <c r="BY607" s="2" t="s">
        <v>111</v>
      </c>
    </row>
    <row r="608">
      <c r="A608" s="2" t="s">
        <v>2044</v>
      </c>
      <c r="B608" s="2" t="s">
        <v>86</v>
      </c>
      <c r="C608" s="2" t="s">
        <v>87</v>
      </c>
      <c r="D608" s="2" t="s">
        <v>2002</v>
      </c>
      <c r="E608" s="2" t="s">
        <v>2003</v>
      </c>
      <c r="F608" s="2" t="s">
        <v>2045</v>
      </c>
      <c r="G608" s="2" t="s">
        <v>2046</v>
      </c>
      <c r="H608" s="2" t="s">
        <v>2047</v>
      </c>
      <c r="I608" s="2" t="s">
        <v>2048</v>
      </c>
      <c r="J608" s="2" t="s">
        <v>2006</v>
      </c>
      <c r="K608" s="2" t="s">
        <v>464</v>
      </c>
      <c r="L608" s="3">
        <v>19.24</v>
      </c>
      <c r="M608" s="3">
        <v>20.2</v>
      </c>
      <c r="N608" s="3">
        <v>39.99</v>
      </c>
      <c r="O608" s="2" t="s">
        <v>368</v>
      </c>
      <c r="P608" s="2" t="s">
        <v>215</v>
      </c>
      <c r="Q608" s="2" t="s">
        <v>97</v>
      </c>
      <c r="R608" s="2" t="s">
        <v>98</v>
      </c>
      <c r="S608" s="2" t="s">
        <v>2049</v>
      </c>
      <c r="T608" s="2" t="s">
        <v>878</v>
      </c>
      <c r="U608" s="2" t="s">
        <v>1494</v>
      </c>
      <c r="V608" s="2" t="s">
        <v>2050</v>
      </c>
      <c r="W608" s="2" t="s">
        <v>102</v>
      </c>
      <c r="X608" s="2" t="s">
        <v>98</v>
      </c>
      <c r="Y608" s="2" t="s">
        <v>104</v>
      </c>
      <c r="Z608" s="4"/>
      <c r="AA608" s="4">
        <f>=ROUNDDOWN({0},0)</f>
      </c>
      <c r="AB608" s="5">
        <v>0.7</v>
      </c>
      <c r="AC608" s="2" t="s">
        <v>98</v>
      </c>
      <c r="AD608" s="4"/>
      <c r="AE608" s="4"/>
      <c r="AF608" s="6">
        <v>65</v>
      </c>
      <c r="AG608" s="6"/>
      <c r="AH608" s="7">
        <v>0.1111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>
        <v>18</v>
      </c>
      <c r="AS608" s="8">
        <v>300.06</v>
      </c>
      <c r="AT608" s="7">
        <v>-1</v>
      </c>
      <c r="AU608" s="7">
        <v>-1</v>
      </c>
      <c r="AV608" s="4"/>
      <c r="AW608" s="8"/>
      <c r="AX608" s="4">
        <v>18</v>
      </c>
      <c r="AY608" s="8">
        <v>300.06</v>
      </c>
      <c r="AZ608" s="7">
        <v>-1</v>
      </c>
      <c r="BA608" s="7">
        <v>-1</v>
      </c>
      <c r="BB608" s="7"/>
      <c r="BC608" s="4" t="s">
        <v>98</v>
      </c>
      <c r="BD608" s="8" t="s">
        <v>98</v>
      </c>
      <c r="BE608" s="4">
        <v>599</v>
      </c>
      <c r="BF608" s="8">
        <v>9985.33</v>
      </c>
      <c r="BG608" s="7" t="s">
        <v>98</v>
      </c>
      <c r="BH608" s="7" t="s">
        <v>98</v>
      </c>
      <c r="BI608" s="7"/>
      <c r="BJ608" s="4"/>
      <c r="BK608" s="8"/>
      <c r="BL608" s="2" t="s">
        <v>2051</v>
      </c>
      <c r="BM608" s="7"/>
      <c r="BN608" s="7"/>
      <c r="BO608" s="4"/>
      <c r="BP608" s="8"/>
      <c r="BQ608" s="4">
        <v>18</v>
      </c>
      <c r="BR608" s="8">
        <v>300.06</v>
      </c>
      <c r="BS608" s="7">
        <v>-1</v>
      </c>
      <c r="BT608" s="7">
        <v>-1</v>
      </c>
      <c r="BU608" s="2" t="s">
        <v>211</v>
      </c>
      <c r="BV608" s="2" t="s">
        <v>352</v>
      </c>
      <c r="BW608" s="2" t="s">
        <v>651</v>
      </c>
      <c r="BX608" s="2" t="s">
        <v>1362</v>
      </c>
      <c r="BY608" s="2" t="s">
        <v>111</v>
      </c>
    </row>
    <row r="609">
      <c r="A609" s="2" t="s">
        <v>2052</v>
      </c>
      <c r="B609" s="2" t="s">
        <v>86</v>
      </c>
      <c r="C609" s="2" t="s">
        <v>87</v>
      </c>
      <c r="D609" s="2" t="s">
        <v>2002</v>
      </c>
      <c r="E609" s="2" t="s">
        <v>2003</v>
      </c>
      <c r="F609" s="2" t="s">
        <v>2045</v>
      </c>
      <c r="G609" s="2" t="s">
        <v>2046</v>
      </c>
      <c r="H609" s="2" t="s">
        <v>2047</v>
      </c>
      <c r="I609" s="2" t="s">
        <v>2048</v>
      </c>
      <c r="J609" s="2" t="s">
        <v>2006</v>
      </c>
      <c r="K609" s="2" t="s">
        <v>290</v>
      </c>
      <c r="L609" s="3">
        <v>19.24</v>
      </c>
      <c r="M609" s="3">
        <v>20.2</v>
      </c>
      <c r="N609" s="3">
        <v>39.99</v>
      </c>
      <c r="O609" s="2" t="s">
        <v>368</v>
      </c>
      <c r="P609" s="2" t="s">
        <v>215</v>
      </c>
      <c r="Q609" s="2" t="s">
        <v>97</v>
      </c>
      <c r="R609" s="2" t="s">
        <v>98</v>
      </c>
      <c r="S609" s="2" t="s">
        <v>2053</v>
      </c>
      <c r="T609" s="2" t="s">
        <v>878</v>
      </c>
      <c r="U609" s="2" t="s">
        <v>1494</v>
      </c>
      <c r="V609" s="2" t="s">
        <v>2050</v>
      </c>
      <c r="W609" s="2" t="s">
        <v>102</v>
      </c>
      <c r="X609" s="2" t="s">
        <v>2054</v>
      </c>
      <c r="Y609" s="2" t="s">
        <v>763</v>
      </c>
      <c r="Z609" s="4"/>
      <c r="AA609" s="4">
        <f>=ROUNDDOWN({0},0)</f>
      </c>
      <c r="AB609" s="5"/>
      <c r="AC609" s="2" t="s">
        <v>98</v>
      </c>
      <c r="AD609" s="4"/>
      <c r="AE609" s="4"/>
      <c r="AF609" s="6">
        <v>65</v>
      </c>
      <c r="AG609" s="6"/>
      <c r="AH609" s="7">
        <v>0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>
        <v>65</v>
      </c>
      <c r="AS609" s="8">
        <v>1083.55</v>
      </c>
      <c r="AT609" s="7">
        <v>-1</v>
      </c>
      <c r="AU609" s="7">
        <v>-1</v>
      </c>
      <c r="AV609" s="4"/>
      <c r="AW609" s="8"/>
      <c r="AX609" s="4">
        <v>65</v>
      </c>
      <c r="AY609" s="8">
        <v>1083.55</v>
      </c>
      <c r="AZ609" s="7">
        <v>-1</v>
      </c>
      <c r="BA609" s="7">
        <v>-1</v>
      </c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/>
      <c r="BK609" s="8"/>
      <c r="BL609" s="2" t="s">
        <v>2055</v>
      </c>
      <c r="BM609" s="7"/>
      <c r="BN609" s="7"/>
      <c r="BO609" s="4"/>
      <c r="BP609" s="8"/>
      <c r="BQ609" s="4">
        <v>65</v>
      </c>
      <c r="BR609" s="8">
        <v>1083.55</v>
      </c>
      <c r="BS609" s="7">
        <v>-1</v>
      </c>
      <c r="BT609" s="7">
        <v>-1</v>
      </c>
      <c r="BU609" s="2" t="s">
        <v>211</v>
      </c>
      <c r="BV609" s="2" t="s">
        <v>352</v>
      </c>
      <c r="BW609" s="2" t="s">
        <v>2056</v>
      </c>
      <c r="BX609" s="2" t="s">
        <v>2057</v>
      </c>
      <c r="BY609" s="2" t="s">
        <v>111</v>
      </c>
    </row>
    <row r="610">
      <c r="A610" s="2" t="s">
        <v>2058</v>
      </c>
      <c r="B610" s="2" t="s">
        <v>86</v>
      </c>
      <c r="C610" s="2" t="s">
        <v>87</v>
      </c>
      <c r="D610" s="2" t="s">
        <v>2002</v>
      </c>
      <c r="E610" s="2" t="s">
        <v>2003</v>
      </c>
      <c r="F610" s="2" t="s">
        <v>2045</v>
      </c>
      <c r="G610" s="2" t="s">
        <v>2046</v>
      </c>
      <c r="H610" s="2" t="s">
        <v>2047</v>
      </c>
      <c r="I610" s="2" t="s">
        <v>2048</v>
      </c>
      <c r="J610" s="2" t="s">
        <v>2006</v>
      </c>
      <c r="K610" s="2" t="s">
        <v>458</v>
      </c>
      <c r="L610" s="3">
        <v>19.24</v>
      </c>
      <c r="M610" s="3">
        <v>20.2</v>
      </c>
      <c r="N610" s="3">
        <v>39.99</v>
      </c>
      <c r="O610" s="2" t="s">
        <v>368</v>
      </c>
      <c r="P610" s="2" t="s">
        <v>215</v>
      </c>
      <c r="Q610" s="2" t="s">
        <v>97</v>
      </c>
      <c r="R610" s="2" t="s">
        <v>98</v>
      </c>
      <c r="S610" s="2" t="s">
        <v>2059</v>
      </c>
      <c r="T610" s="2" t="s">
        <v>878</v>
      </c>
      <c r="U610" s="2" t="s">
        <v>1494</v>
      </c>
      <c r="V610" s="2" t="s">
        <v>2050</v>
      </c>
      <c r="W610" s="2" t="s">
        <v>335</v>
      </c>
      <c r="X610" s="2" t="s">
        <v>98</v>
      </c>
      <c r="Y610" s="2" t="s">
        <v>2060</v>
      </c>
      <c r="Z610" s="4"/>
      <c r="AA610" s="4">
        <f>=ROUNDDOWN({0},0)</f>
      </c>
      <c r="AB610" s="5">
        <v>2.3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>
        <v>23</v>
      </c>
      <c r="AS610" s="8">
        <v>383.41</v>
      </c>
      <c r="AT610" s="7">
        <v>-1</v>
      </c>
      <c r="AU610" s="7">
        <v>-1</v>
      </c>
      <c r="AV610" s="4"/>
      <c r="AW610" s="8"/>
      <c r="AX610" s="4">
        <v>23</v>
      </c>
      <c r="AY610" s="8">
        <v>383.41</v>
      </c>
      <c r="AZ610" s="7">
        <v>-1</v>
      </c>
      <c r="BA610" s="7">
        <v>-1</v>
      </c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/>
      <c r="BJ610" s="4">
        <v>18</v>
      </c>
      <c r="BK610" s="8">
        <v>335.09</v>
      </c>
      <c r="BL610" s="2" t="s">
        <v>834</v>
      </c>
      <c r="BM610" s="7"/>
      <c r="BN610" s="7"/>
      <c r="BO610" s="4"/>
      <c r="BP610" s="8"/>
      <c r="BQ610" s="4">
        <v>23</v>
      </c>
      <c r="BR610" s="8">
        <v>383.41</v>
      </c>
      <c r="BS610" s="7">
        <v>-1</v>
      </c>
      <c r="BT610" s="7">
        <v>-1</v>
      </c>
      <c r="BU610" s="2" t="s">
        <v>211</v>
      </c>
      <c r="BV610" s="2" t="s">
        <v>352</v>
      </c>
      <c r="BW610" s="2" t="s">
        <v>651</v>
      </c>
      <c r="BX610" s="2" t="s">
        <v>1285</v>
      </c>
      <c r="BY610" s="2" t="s">
        <v>354</v>
      </c>
    </row>
    <row r="611">
      <c r="A611" s="2" t="s">
        <v>2061</v>
      </c>
      <c r="B611" s="2" t="s">
        <v>86</v>
      </c>
      <c r="C611" s="2" t="s">
        <v>87</v>
      </c>
      <c r="D611" s="2" t="s">
        <v>2002</v>
      </c>
      <c r="E611" s="2" t="s">
        <v>2003</v>
      </c>
      <c r="F611" s="2" t="s">
        <v>2045</v>
      </c>
      <c r="G611" s="2" t="s">
        <v>2046</v>
      </c>
      <c r="H611" s="2" t="s">
        <v>2047</v>
      </c>
      <c r="I611" s="2" t="s">
        <v>2048</v>
      </c>
      <c r="J611" s="2" t="s">
        <v>2006</v>
      </c>
      <c r="K611" s="2" t="s">
        <v>400</v>
      </c>
      <c r="L611" s="3">
        <v>19.24</v>
      </c>
      <c r="M611" s="3">
        <v>20.2</v>
      </c>
      <c r="N611" s="3">
        <v>39.99</v>
      </c>
      <c r="O611" s="2" t="s">
        <v>368</v>
      </c>
      <c r="P611" s="2" t="s">
        <v>215</v>
      </c>
      <c r="Q611" s="2" t="s">
        <v>97</v>
      </c>
      <c r="R611" s="2" t="s">
        <v>98</v>
      </c>
      <c r="S611" s="2" t="s">
        <v>2062</v>
      </c>
      <c r="T611" s="2" t="s">
        <v>878</v>
      </c>
      <c r="U611" s="2" t="s">
        <v>1494</v>
      </c>
      <c r="V611" s="2" t="s">
        <v>2050</v>
      </c>
      <c r="W611" s="2" t="s">
        <v>102</v>
      </c>
      <c r="X611" s="2" t="s">
        <v>98</v>
      </c>
      <c r="Y611" s="2" t="s">
        <v>104</v>
      </c>
      <c r="Z611" s="4"/>
      <c r="AA611" s="4">
        <f>=ROUNDDOWN({0},0)</f>
      </c>
      <c r="AB611" s="5">
        <v>0.3</v>
      </c>
      <c r="AC611" s="2" t="s">
        <v>98</v>
      </c>
      <c r="AD611" s="4"/>
      <c r="AE611" s="4"/>
      <c r="AF611" s="6"/>
      <c r="AG611" s="6"/>
      <c r="AH611" s="7">
        <v>0.4667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>
        <v>70</v>
      </c>
      <c r="AS611" s="8">
        <v>1166.9</v>
      </c>
      <c r="AT611" s="7">
        <v>-1</v>
      </c>
      <c r="AU611" s="7">
        <v>-1</v>
      </c>
      <c r="AV611" s="4"/>
      <c r="AW611" s="8"/>
      <c r="AX611" s="4">
        <v>70</v>
      </c>
      <c r="AY611" s="8">
        <v>1166.9</v>
      </c>
      <c r="AZ611" s="7">
        <v>-1</v>
      </c>
      <c r="BA611" s="7">
        <v>-1</v>
      </c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/>
      <c r="BJ611" s="4">
        <v>2</v>
      </c>
      <c r="BK611" s="8">
        <v>79.98</v>
      </c>
      <c r="BL611" s="2" t="s">
        <v>2063</v>
      </c>
      <c r="BM611" s="7"/>
      <c r="BN611" s="7"/>
      <c r="BO611" s="4"/>
      <c r="BP611" s="8"/>
      <c r="BQ611" s="4">
        <v>70</v>
      </c>
      <c r="BR611" s="8">
        <v>1166.9</v>
      </c>
      <c r="BS611" s="7">
        <v>-1</v>
      </c>
      <c r="BT611" s="7">
        <v>-1</v>
      </c>
      <c r="BU611" s="2" t="s">
        <v>211</v>
      </c>
      <c r="BV611" s="2" t="s">
        <v>352</v>
      </c>
      <c r="BW611" s="2" t="s">
        <v>651</v>
      </c>
      <c r="BX611" s="2" t="s">
        <v>1362</v>
      </c>
      <c r="BY611" s="2" t="s">
        <v>111</v>
      </c>
    </row>
    <row r="612">
      <c r="A612" s="2" t="s">
        <v>2064</v>
      </c>
      <c r="B612" s="2" t="s">
        <v>86</v>
      </c>
      <c r="C612" s="2" t="s">
        <v>87</v>
      </c>
      <c r="D612" s="2" t="s">
        <v>2002</v>
      </c>
      <c r="E612" s="2" t="s">
        <v>2003</v>
      </c>
      <c r="F612" s="2" t="s">
        <v>2045</v>
      </c>
      <c r="G612" s="2" t="s">
        <v>2046</v>
      </c>
      <c r="H612" s="2" t="s">
        <v>2047</v>
      </c>
      <c r="I612" s="2" t="s">
        <v>2048</v>
      </c>
      <c r="J612" s="2" t="s">
        <v>2006</v>
      </c>
      <c r="K612" s="2" t="s">
        <v>431</v>
      </c>
      <c r="L612" s="3">
        <v>19.24</v>
      </c>
      <c r="M612" s="3">
        <v>20.2</v>
      </c>
      <c r="N612" s="3">
        <v>39.99</v>
      </c>
      <c r="O612" s="2" t="s">
        <v>368</v>
      </c>
      <c r="P612" s="2" t="s">
        <v>215</v>
      </c>
      <c r="Q612" s="2" t="s">
        <v>97</v>
      </c>
      <c r="R612" s="2" t="s">
        <v>98</v>
      </c>
      <c r="S612" s="2" t="s">
        <v>2065</v>
      </c>
      <c r="T612" s="2" t="s">
        <v>878</v>
      </c>
      <c r="U612" s="2" t="s">
        <v>1494</v>
      </c>
      <c r="V612" s="2" t="s">
        <v>2050</v>
      </c>
      <c r="W612" s="2" t="s">
        <v>102</v>
      </c>
      <c r="X612" s="2" t="s">
        <v>98</v>
      </c>
      <c r="Y612" s="2" t="s">
        <v>104</v>
      </c>
      <c r="Z612" s="4"/>
      <c r="AA612" s="4">
        <f>=ROUNDDOWN({0},0)</f>
      </c>
      <c r="AB612" s="5"/>
      <c r="AC612" s="2" t="s">
        <v>98</v>
      </c>
      <c r="AD612" s="4"/>
      <c r="AE612" s="4"/>
      <c r="AF612" s="6">
        <v>65</v>
      </c>
      <c r="AG612" s="6"/>
      <c r="AH612" s="7">
        <v>0.3667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>
        <v>63</v>
      </c>
      <c r="AS612" s="8">
        <v>1050.21</v>
      </c>
      <c r="AT612" s="7">
        <v>-1</v>
      </c>
      <c r="AU612" s="7">
        <v>-1</v>
      </c>
      <c r="AV612" s="4"/>
      <c r="AW612" s="8"/>
      <c r="AX612" s="4">
        <v>63</v>
      </c>
      <c r="AY612" s="8">
        <v>1050.21</v>
      </c>
      <c r="AZ612" s="7">
        <v>-1</v>
      </c>
      <c r="BA612" s="7">
        <v>-1</v>
      </c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/>
      <c r="BJ612" s="4"/>
      <c r="BK612" s="8"/>
      <c r="BL612" s="2" t="s">
        <v>680</v>
      </c>
      <c r="BM612" s="7"/>
      <c r="BN612" s="7"/>
      <c r="BO612" s="4"/>
      <c r="BP612" s="8"/>
      <c r="BQ612" s="4">
        <v>63</v>
      </c>
      <c r="BR612" s="8">
        <v>1050.21</v>
      </c>
      <c r="BS612" s="7">
        <v>-1</v>
      </c>
      <c r="BT612" s="7">
        <v>-1</v>
      </c>
      <c r="BU612" s="2" t="s">
        <v>211</v>
      </c>
      <c r="BV612" s="2" t="s">
        <v>352</v>
      </c>
      <c r="BW612" s="2" t="s">
        <v>651</v>
      </c>
      <c r="BX612" s="2" t="s">
        <v>357</v>
      </c>
      <c r="BY612" s="2" t="s">
        <v>111</v>
      </c>
    </row>
    <row r="613">
      <c r="A613" s="2" t="s">
        <v>2066</v>
      </c>
      <c r="B613" s="2" t="s">
        <v>86</v>
      </c>
      <c r="C613" s="2" t="s">
        <v>87</v>
      </c>
      <c r="D613" s="2" t="s">
        <v>2002</v>
      </c>
      <c r="E613" s="2" t="s">
        <v>2003</v>
      </c>
      <c r="F613" s="2" t="s">
        <v>2045</v>
      </c>
      <c r="G613" s="2" t="s">
        <v>2046</v>
      </c>
      <c r="H613" s="2" t="s">
        <v>2047</v>
      </c>
      <c r="I613" s="2" t="s">
        <v>2048</v>
      </c>
      <c r="J613" s="2" t="s">
        <v>2006</v>
      </c>
      <c r="K613" s="2" t="s">
        <v>299</v>
      </c>
      <c r="L613" s="3">
        <v>19.24</v>
      </c>
      <c r="M613" s="3">
        <v>20.2</v>
      </c>
      <c r="N613" s="3">
        <v>39.99</v>
      </c>
      <c r="O613" s="2" t="s">
        <v>368</v>
      </c>
      <c r="P613" s="2" t="s">
        <v>215</v>
      </c>
      <c r="Q613" s="2" t="s">
        <v>97</v>
      </c>
      <c r="R613" s="2" t="s">
        <v>98</v>
      </c>
      <c r="S613" s="2" t="s">
        <v>2067</v>
      </c>
      <c r="T613" s="2" t="s">
        <v>878</v>
      </c>
      <c r="U613" s="2" t="s">
        <v>1494</v>
      </c>
      <c r="V613" s="2" t="s">
        <v>2050</v>
      </c>
      <c r="W613" s="2" t="s">
        <v>335</v>
      </c>
      <c r="X613" s="2" t="s">
        <v>98</v>
      </c>
      <c r="Y613" s="2" t="s">
        <v>2060</v>
      </c>
      <c r="Z613" s="4"/>
      <c r="AA613" s="4">
        <f>=ROUNDDOWN({0},0)</f>
      </c>
      <c r="AB613" s="5">
        <v>0.2</v>
      </c>
      <c r="AC613" s="2" t="s">
        <v>98</v>
      </c>
      <c r="AD613" s="4"/>
      <c r="AE613" s="4"/>
      <c r="AF613" s="6"/>
      <c r="AG613" s="6"/>
      <c r="AH613" s="7">
        <v>0.3667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>
        <v>70</v>
      </c>
      <c r="AS613" s="8">
        <v>1166.9</v>
      </c>
      <c r="AT613" s="7">
        <v>-1</v>
      </c>
      <c r="AU613" s="7">
        <v>-1</v>
      </c>
      <c r="AV613" s="4"/>
      <c r="AW613" s="8"/>
      <c r="AX613" s="4">
        <v>70</v>
      </c>
      <c r="AY613" s="8">
        <v>1166.9</v>
      </c>
      <c r="AZ613" s="7">
        <v>-1</v>
      </c>
      <c r="BA613" s="7">
        <v>-1</v>
      </c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/>
      <c r="BK613" s="8"/>
      <c r="BL613" s="2" t="s">
        <v>2068</v>
      </c>
      <c r="BM613" s="7"/>
      <c r="BN613" s="7"/>
      <c r="BO613" s="4"/>
      <c r="BP613" s="8"/>
      <c r="BQ613" s="4">
        <v>70</v>
      </c>
      <c r="BR613" s="8">
        <v>1166.9</v>
      </c>
      <c r="BS613" s="7">
        <v>-1</v>
      </c>
      <c r="BT613" s="7">
        <v>-1</v>
      </c>
      <c r="BU613" s="2" t="s">
        <v>211</v>
      </c>
      <c r="BV613" s="2" t="s">
        <v>352</v>
      </c>
      <c r="BW613" s="2" t="s">
        <v>651</v>
      </c>
      <c r="BX613" s="2" t="s">
        <v>378</v>
      </c>
      <c r="BY613" s="2" t="s">
        <v>111</v>
      </c>
    </row>
    <row r="614">
      <c r="A614" s="2" t="s">
        <v>2069</v>
      </c>
      <c r="B614" s="2" t="s">
        <v>86</v>
      </c>
      <c r="C614" s="2" t="s">
        <v>87</v>
      </c>
      <c r="D614" s="2" t="s">
        <v>2002</v>
      </c>
      <c r="E614" s="2" t="s">
        <v>2003</v>
      </c>
      <c r="F614" s="2" t="s">
        <v>2045</v>
      </c>
      <c r="G614" s="2" t="s">
        <v>2046</v>
      </c>
      <c r="H614" s="2" t="s">
        <v>2047</v>
      </c>
      <c r="I614" s="2" t="s">
        <v>2048</v>
      </c>
      <c r="J614" s="2" t="s">
        <v>2006</v>
      </c>
      <c r="K614" s="2" t="s">
        <v>520</v>
      </c>
      <c r="L614" s="3">
        <v>19.24</v>
      </c>
      <c r="M614" s="3">
        <v>20.2</v>
      </c>
      <c r="N614" s="3">
        <v>39.99</v>
      </c>
      <c r="O614" s="2" t="s">
        <v>241</v>
      </c>
      <c r="P614" s="2" t="s">
        <v>215</v>
      </c>
      <c r="Q614" s="2" t="s">
        <v>97</v>
      </c>
      <c r="R614" s="2" t="s">
        <v>98</v>
      </c>
      <c r="S614" s="2" t="s">
        <v>2070</v>
      </c>
      <c r="T614" s="2" t="s">
        <v>878</v>
      </c>
      <c r="U614" s="2" t="s">
        <v>1494</v>
      </c>
      <c r="V614" s="2" t="s">
        <v>2050</v>
      </c>
      <c r="W614" s="2" t="s">
        <v>335</v>
      </c>
      <c r="X614" s="2" t="s">
        <v>98</v>
      </c>
      <c r="Y614" s="2" t="s">
        <v>2060</v>
      </c>
      <c r="Z614" s="4"/>
      <c r="AA614" s="4">
        <f>=ROUNDDOWN({0},0)</f>
      </c>
      <c r="AB614" s="5"/>
      <c r="AC614" s="2" t="s">
        <v>98</v>
      </c>
      <c r="AD614" s="4"/>
      <c r="AE614" s="4"/>
      <c r="AF614" s="6">
        <v>65</v>
      </c>
      <c r="AG614" s="6"/>
      <c r="AH614" s="7">
        <v>0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>
        <v>54</v>
      </c>
      <c r="AS614" s="8">
        <v>900.18</v>
      </c>
      <c r="AT614" s="7">
        <v>-1</v>
      </c>
      <c r="AU614" s="7">
        <v>-1</v>
      </c>
      <c r="AV614" s="4"/>
      <c r="AW614" s="8"/>
      <c r="AX614" s="4">
        <v>54</v>
      </c>
      <c r="AY614" s="8">
        <v>900.18</v>
      </c>
      <c r="AZ614" s="7">
        <v>-1</v>
      </c>
      <c r="BA614" s="7">
        <v>-1</v>
      </c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/>
      <c r="BK614" s="8"/>
      <c r="BL614" s="2" t="s">
        <v>588</v>
      </c>
      <c r="BM614" s="7"/>
      <c r="BN614" s="7"/>
      <c r="BO614" s="4"/>
      <c r="BP614" s="8"/>
      <c r="BQ614" s="4">
        <v>54</v>
      </c>
      <c r="BR614" s="8">
        <v>900.18</v>
      </c>
      <c r="BS614" s="7">
        <v>-1</v>
      </c>
      <c r="BT614" s="7">
        <v>-1</v>
      </c>
      <c r="BU614" s="2" t="s">
        <v>211</v>
      </c>
      <c r="BV614" s="2" t="s">
        <v>352</v>
      </c>
      <c r="BW614" s="2" t="s">
        <v>651</v>
      </c>
      <c r="BX614" s="2" t="s">
        <v>443</v>
      </c>
      <c r="BY614" s="2" t="s">
        <v>354</v>
      </c>
    </row>
    <row r="615">
      <c r="A615" s="2" t="s">
        <v>2071</v>
      </c>
      <c r="B615" s="2" t="s">
        <v>86</v>
      </c>
      <c r="C615" s="2" t="s">
        <v>87</v>
      </c>
      <c r="D615" s="2" t="s">
        <v>2002</v>
      </c>
      <c r="E615" s="2" t="s">
        <v>2003</v>
      </c>
      <c r="F615" s="2" t="s">
        <v>2045</v>
      </c>
      <c r="G615" s="2" t="s">
        <v>2046</v>
      </c>
      <c r="H615" s="2" t="s">
        <v>2047</v>
      </c>
      <c r="I615" s="2" t="s">
        <v>2048</v>
      </c>
      <c r="J615" s="2" t="s">
        <v>2006</v>
      </c>
      <c r="K615" s="2" t="s">
        <v>404</v>
      </c>
      <c r="L615" s="3">
        <v>19.24</v>
      </c>
      <c r="M615" s="3">
        <v>20.2</v>
      </c>
      <c r="N615" s="3">
        <v>39.99</v>
      </c>
      <c r="O615" s="2" t="s">
        <v>241</v>
      </c>
      <c r="P615" s="2" t="s">
        <v>215</v>
      </c>
      <c r="Q615" s="2" t="s">
        <v>97</v>
      </c>
      <c r="R615" s="2" t="s">
        <v>98</v>
      </c>
      <c r="S615" s="2" t="s">
        <v>2072</v>
      </c>
      <c r="T615" s="2" t="s">
        <v>878</v>
      </c>
      <c r="U615" s="2" t="s">
        <v>1494</v>
      </c>
      <c r="V615" s="2" t="s">
        <v>2050</v>
      </c>
      <c r="W615" s="2" t="s">
        <v>102</v>
      </c>
      <c r="X615" s="2" t="s">
        <v>98</v>
      </c>
      <c r="Y615" s="2" t="s">
        <v>104</v>
      </c>
      <c r="Z615" s="4"/>
      <c r="AA615" s="4">
        <f>=ROUNDDOWN({0},0)</f>
      </c>
      <c r="AB615" s="5"/>
      <c r="AC615" s="2" t="s">
        <v>98</v>
      </c>
      <c r="AD615" s="4"/>
      <c r="AE615" s="4"/>
      <c r="AF615" s="6"/>
      <c r="AG615" s="6"/>
      <c r="AH615" s="7">
        <v>0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>
        <v>89</v>
      </c>
      <c r="AS615" s="8">
        <v>1483.63</v>
      </c>
      <c r="AT615" s="7">
        <v>-1</v>
      </c>
      <c r="AU615" s="7">
        <v>-1</v>
      </c>
      <c r="AV615" s="4"/>
      <c r="AW615" s="8"/>
      <c r="AX615" s="4">
        <v>89</v>
      </c>
      <c r="AY615" s="8">
        <v>1483.63</v>
      </c>
      <c r="AZ615" s="7">
        <v>-1</v>
      </c>
      <c r="BA615" s="7">
        <v>-1</v>
      </c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/>
      <c r="BK615" s="8"/>
      <c r="BL615" s="2" t="s">
        <v>2017</v>
      </c>
      <c r="BM615" s="7"/>
      <c r="BN615" s="7"/>
      <c r="BO615" s="4"/>
      <c r="BP615" s="8"/>
      <c r="BQ615" s="4">
        <v>89</v>
      </c>
      <c r="BR615" s="8">
        <v>1483.63</v>
      </c>
      <c r="BS615" s="7">
        <v>-1</v>
      </c>
      <c r="BT615" s="7">
        <v>-1</v>
      </c>
      <c r="BU615" s="2" t="s">
        <v>211</v>
      </c>
      <c r="BV615" s="2" t="s">
        <v>352</v>
      </c>
      <c r="BW615" s="2" t="s">
        <v>651</v>
      </c>
      <c r="BX615" s="2" t="s">
        <v>443</v>
      </c>
      <c r="BY615" s="2" t="s">
        <v>111</v>
      </c>
    </row>
    <row r="616">
      <c r="A616" s="2" t="s">
        <v>2073</v>
      </c>
      <c r="B616" s="2" t="s">
        <v>86</v>
      </c>
      <c r="C616" s="2" t="s">
        <v>87</v>
      </c>
      <c r="D616" s="2" t="s">
        <v>2002</v>
      </c>
      <c r="E616" s="2" t="s">
        <v>2003</v>
      </c>
      <c r="F616" s="2" t="s">
        <v>2045</v>
      </c>
      <c r="G616" s="2" t="s">
        <v>2046</v>
      </c>
      <c r="H616" s="2" t="s">
        <v>2047</v>
      </c>
      <c r="I616" s="2" t="s">
        <v>2048</v>
      </c>
      <c r="J616" s="2" t="s">
        <v>2006</v>
      </c>
      <c r="K616" s="2" t="s">
        <v>94</v>
      </c>
      <c r="L616" s="3">
        <v>19.24</v>
      </c>
      <c r="M616" s="3">
        <v>20.2</v>
      </c>
      <c r="N616" s="3">
        <v>39.99</v>
      </c>
      <c r="O616" s="2" t="s">
        <v>368</v>
      </c>
      <c r="P616" s="2" t="s">
        <v>215</v>
      </c>
      <c r="Q616" s="2" t="s">
        <v>97</v>
      </c>
      <c r="R616" s="2" t="s">
        <v>98</v>
      </c>
      <c r="S616" s="2" t="s">
        <v>2074</v>
      </c>
      <c r="T616" s="2" t="s">
        <v>878</v>
      </c>
      <c r="U616" s="2" t="s">
        <v>1494</v>
      </c>
      <c r="V616" s="2" t="s">
        <v>2050</v>
      </c>
      <c r="W616" s="2" t="s">
        <v>102</v>
      </c>
      <c r="X616" s="2" t="s">
        <v>98</v>
      </c>
      <c r="Y616" s="2" t="s">
        <v>104</v>
      </c>
      <c r="Z616" s="4"/>
      <c r="AA616" s="4">
        <f>=ROUNDDOWN({0},0)</f>
      </c>
      <c r="AB616" s="5"/>
      <c r="AC616" s="2" t="s">
        <v>98</v>
      </c>
      <c r="AD616" s="4"/>
      <c r="AE616" s="4"/>
      <c r="AF616" s="6">
        <v>65</v>
      </c>
      <c r="AG616" s="6"/>
      <c r="AH616" s="7">
        <v>0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>
        <v>100</v>
      </c>
      <c r="AS616" s="8">
        <v>1667</v>
      </c>
      <c r="AT616" s="7">
        <v>-1</v>
      </c>
      <c r="AU616" s="7">
        <v>-1</v>
      </c>
      <c r="AV616" s="4"/>
      <c r="AW616" s="8"/>
      <c r="AX616" s="4">
        <v>100</v>
      </c>
      <c r="AY616" s="8">
        <v>1667</v>
      </c>
      <c r="AZ616" s="7">
        <v>-1</v>
      </c>
      <c r="BA616" s="7">
        <v>-1</v>
      </c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/>
      <c r="BK616" s="8"/>
      <c r="BL616" s="2" t="s">
        <v>2075</v>
      </c>
      <c r="BM616" s="7"/>
      <c r="BN616" s="7"/>
      <c r="BO616" s="4"/>
      <c r="BP616" s="8"/>
      <c r="BQ616" s="4">
        <v>100</v>
      </c>
      <c r="BR616" s="8">
        <v>1667</v>
      </c>
      <c r="BS616" s="7">
        <v>-1</v>
      </c>
      <c r="BT616" s="7">
        <v>-1</v>
      </c>
      <c r="BU616" s="2" t="s">
        <v>211</v>
      </c>
      <c r="BV616" s="2" t="s">
        <v>352</v>
      </c>
      <c r="BW616" s="2" t="s">
        <v>651</v>
      </c>
      <c r="BX616" s="2" t="s">
        <v>1362</v>
      </c>
      <c r="BY616" s="2" t="s">
        <v>111</v>
      </c>
    </row>
    <row r="617">
      <c r="A617" s="2" t="s">
        <v>2076</v>
      </c>
      <c r="B617" s="2" t="s">
        <v>86</v>
      </c>
      <c r="C617" s="2" t="s">
        <v>87</v>
      </c>
      <c r="D617" s="2" t="s">
        <v>2002</v>
      </c>
      <c r="E617" s="2" t="s">
        <v>2003</v>
      </c>
      <c r="F617" s="2" t="s">
        <v>2045</v>
      </c>
      <c r="G617" s="2" t="s">
        <v>2046</v>
      </c>
      <c r="H617" s="2" t="s">
        <v>2047</v>
      </c>
      <c r="I617" s="2" t="s">
        <v>2048</v>
      </c>
      <c r="J617" s="2" t="s">
        <v>2006</v>
      </c>
      <c r="K617" s="2" t="s">
        <v>455</v>
      </c>
      <c r="L617" s="3">
        <v>19.24</v>
      </c>
      <c r="M617" s="3">
        <v>20.2</v>
      </c>
      <c r="N617" s="3">
        <v>39.99</v>
      </c>
      <c r="O617" s="2" t="s">
        <v>368</v>
      </c>
      <c r="P617" s="2" t="s">
        <v>215</v>
      </c>
      <c r="Q617" s="2" t="s">
        <v>97</v>
      </c>
      <c r="R617" s="2" t="s">
        <v>98</v>
      </c>
      <c r="S617" s="2" t="s">
        <v>2077</v>
      </c>
      <c r="T617" s="2" t="s">
        <v>878</v>
      </c>
      <c r="U617" s="2" t="s">
        <v>1494</v>
      </c>
      <c r="V617" s="2" t="s">
        <v>2050</v>
      </c>
      <c r="W617" s="2" t="s">
        <v>335</v>
      </c>
      <c r="X617" s="2" t="s">
        <v>98</v>
      </c>
      <c r="Y617" s="2" t="s">
        <v>2060</v>
      </c>
      <c r="Z617" s="4"/>
      <c r="AA617" s="4">
        <f>=ROUNDDOWN({0},0)</f>
      </c>
      <c r="AB617" s="5"/>
      <c r="AC617" s="2" t="s">
        <v>98</v>
      </c>
      <c r="AD617" s="4"/>
      <c r="AE617" s="4"/>
      <c r="AF617" s="6">
        <v>65</v>
      </c>
      <c r="AG617" s="6"/>
      <c r="AH617" s="7">
        <v>0.3667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>
        <v>47</v>
      </c>
      <c r="AS617" s="8">
        <v>783.49</v>
      </c>
      <c r="AT617" s="7">
        <v>-1</v>
      </c>
      <c r="AU617" s="7">
        <v>-1</v>
      </c>
      <c r="AV617" s="4"/>
      <c r="AW617" s="8"/>
      <c r="AX617" s="4">
        <v>47</v>
      </c>
      <c r="AY617" s="8">
        <v>783.49</v>
      </c>
      <c r="AZ617" s="7">
        <v>-1</v>
      </c>
      <c r="BA617" s="7">
        <v>-1</v>
      </c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/>
      <c r="BK617" s="8"/>
      <c r="BL617" s="2" t="s">
        <v>2078</v>
      </c>
      <c r="BM617" s="7"/>
      <c r="BN617" s="7"/>
      <c r="BO617" s="4"/>
      <c r="BP617" s="8"/>
      <c r="BQ617" s="4">
        <v>47</v>
      </c>
      <c r="BR617" s="8">
        <v>783.49</v>
      </c>
      <c r="BS617" s="7">
        <v>-1</v>
      </c>
      <c r="BT617" s="7">
        <v>-1</v>
      </c>
      <c r="BU617" s="2" t="s">
        <v>211</v>
      </c>
      <c r="BV617" s="2" t="s">
        <v>352</v>
      </c>
      <c r="BW617" s="2" t="s">
        <v>651</v>
      </c>
      <c r="BX617" s="2" t="s">
        <v>443</v>
      </c>
      <c r="BY617" s="2" t="s">
        <v>111</v>
      </c>
    </row>
    <row r="618">
      <c r="A618" s="2" t="s">
        <v>2079</v>
      </c>
      <c r="B618" s="2" t="s">
        <v>86</v>
      </c>
      <c r="C618" s="2" t="s">
        <v>87</v>
      </c>
      <c r="D618" s="2" t="s">
        <v>2002</v>
      </c>
      <c r="E618" s="2" t="s">
        <v>2080</v>
      </c>
      <c r="F618" s="2" t="s">
        <v>1758</v>
      </c>
      <c r="G618" s="2" t="s">
        <v>1759</v>
      </c>
      <c r="H618" s="2" t="s">
        <v>1760</v>
      </c>
      <c r="I618" s="2" t="s">
        <v>2081</v>
      </c>
      <c r="J618" s="2" t="s">
        <v>2029</v>
      </c>
      <c r="K618" s="2" t="s">
        <v>323</v>
      </c>
      <c r="L618" s="3">
        <v>13.5</v>
      </c>
      <c r="M618" s="3">
        <v>14.18</v>
      </c>
      <c r="N618" s="3">
        <v>29.99</v>
      </c>
      <c r="O618" s="2" t="s">
        <v>368</v>
      </c>
      <c r="P618" s="2" t="s">
        <v>215</v>
      </c>
      <c r="Q618" s="2" t="s">
        <v>97</v>
      </c>
      <c r="R618" s="2" t="s">
        <v>98</v>
      </c>
      <c r="S618" s="2" t="s">
        <v>1762</v>
      </c>
      <c r="T618" s="2" t="s">
        <v>98</v>
      </c>
      <c r="U618" s="2" t="s">
        <v>98</v>
      </c>
      <c r="V618" s="2" t="s">
        <v>482</v>
      </c>
      <c r="W618" s="2" t="s">
        <v>567</v>
      </c>
      <c r="X618" s="2" t="s">
        <v>98</v>
      </c>
      <c r="Y618" s="2" t="s">
        <v>104</v>
      </c>
      <c r="Z618" s="4"/>
      <c r="AA618" s="4">
        <f>=ROUNDDOWN({0},0)</f>
      </c>
      <c r="AB618" s="5"/>
      <c r="AC618" s="2" t="s">
        <v>98</v>
      </c>
      <c r="AD618" s="4"/>
      <c r="AE618" s="4"/>
      <c r="AF618" s="6"/>
      <c r="AG618" s="6"/>
      <c r="AH618" s="7">
        <v>0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>
        <v>1</v>
      </c>
      <c r="AS618" s="8">
        <v>11.48</v>
      </c>
      <c r="AT618" s="7">
        <v>-1</v>
      </c>
      <c r="AU618" s="7">
        <v>-1</v>
      </c>
      <c r="AV618" s="4"/>
      <c r="AW618" s="8"/>
      <c r="AX618" s="4">
        <v>1</v>
      </c>
      <c r="AY618" s="8">
        <v>11.48</v>
      </c>
      <c r="AZ618" s="7">
        <v>-1</v>
      </c>
      <c r="BA618" s="7">
        <v>-1</v>
      </c>
      <c r="BB618" s="7"/>
      <c r="BC618" s="4"/>
      <c r="BD618" s="8"/>
      <c r="BE618" s="4">
        <v>1</v>
      </c>
      <c r="BF618" s="8">
        <v>11.48</v>
      </c>
      <c r="BG618" s="7">
        <v>-1</v>
      </c>
      <c r="BH618" s="7">
        <v>-1</v>
      </c>
      <c r="BI618" s="7"/>
      <c r="BJ618" s="4"/>
      <c r="BK618" s="8"/>
      <c r="BL618" s="2" t="s">
        <v>2082</v>
      </c>
      <c r="BM618" s="7"/>
      <c r="BN618" s="7"/>
      <c r="BO618" s="4"/>
      <c r="BP618" s="8"/>
      <c r="BQ618" s="4">
        <v>1</v>
      </c>
      <c r="BR618" s="8">
        <v>11.48</v>
      </c>
      <c r="BS618" s="7">
        <v>-1</v>
      </c>
      <c r="BT618" s="7">
        <v>-1</v>
      </c>
      <c r="BU618" s="2" t="s">
        <v>211</v>
      </c>
      <c r="BV618" s="2" t="s">
        <v>352</v>
      </c>
      <c r="BW618" s="2" t="s">
        <v>2083</v>
      </c>
      <c r="BX618" s="2" t="s">
        <v>2084</v>
      </c>
      <c r="BY618" s="2" t="s">
        <v>111</v>
      </c>
    </row>
    <row r="619">
      <c r="A619" s="2" t="s">
        <v>2085</v>
      </c>
      <c r="B619" s="2" t="s">
        <v>86</v>
      </c>
      <c r="C619" s="2" t="s">
        <v>87</v>
      </c>
      <c r="D619" s="2" t="s">
        <v>2002</v>
      </c>
      <c r="E619" s="2" t="s">
        <v>2080</v>
      </c>
      <c r="F619" s="2" t="s">
        <v>1766</v>
      </c>
      <c r="G619" s="2" t="s">
        <v>1767</v>
      </c>
      <c r="H619" s="2" t="s">
        <v>1768</v>
      </c>
      <c r="I619" s="2" t="s">
        <v>2086</v>
      </c>
      <c r="J619" s="2" t="s">
        <v>2029</v>
      </c>
      <c r="K619" s="2" t="s">
        <v>312</v>
      </c>
      <c r="L619" s="3">
        <v>13.5</v>
      </c>
      <c r="M619" s="3">
        <v>14.18</v>
      </c>
      <c r="N619" s="3">
        <v>29.99</v>
      </c>
      <c r="O619" s="2" t="s">
        <v>368</v>
      </c>
      <c r="P619" s="2" t="s">
        <v>215</v>
      </c>
      <c r="Q619" s="2" t="s">
        <v>97</v>
      </c>
      <c r="R619" s="2" t="s">
        <v>98</v>
      </c>
      <c r="S619" s="2" t="s">
        <v>2087</v>
      </c>
      <c r="T619" s="2" t="s">
        <v>878</v>
      </c>
      <c r="U619" s="2" t="s">
        <v>100</v>
      </c>
      <c r="V619" s="2" t="s">
        <v>1416</v>
      </c>
      <c r="W619" s="2" t="s">
        <v>335</v>
      </c>
      <c r="X619" s="2" t="s">
        <v>98</v>
      </c>
      <c r="Y619" s="2" t="s">
        <v>1484</v>
      </c>
      <c r="Z619" s="4">
        <v>123</v>
      </c>
      <c r="AA619" s="4">
        <f>=ROUNDDOWN(153.75,0)</f>
      </c>
      <c r="AB619" s="5">
        <v>0.8</v>
      </c>
      <c r="AC619" s="2" t="s">
        <v>98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 t="s">
        <v>98</v>
      </c>
      <c r="AW619" s="8" t="s">
        <v>98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/>
      <c r="BC619" s="4" t="s">
        <v>98</v>
      </c>
      <c r="BD619" s="8" t="s">
        <v>98</v>
      </c>
      <c r="BE619" s="4">
        <v>22</v>
      </c>
      <c r="BF619" s="8">
        <v>261.76</v>
      </c>
      <c r="BG619" s="7" t="s">
        <v>98</v>
      </c>
      <c r="BH619" s="7" t="s">
        <v>98</v>
      </c>
      <c r="BI619" s="7"/>
      <c r="BJ619" s="4">
        <v>10</v>
      </c>
      <c r="BK619" s="8">
        <v>76.88</v>
      </c>
      <c r="BL619" s="2" t="s">
        <v>2088</v>
      </c>
      <c r="BM619" s="7"/>
      <c r="BN619" s="7"/>
      <c r="BO619" s="4"/>
      <c r="BP619" s="8"/>
      <c r="BQ619" s="4"/>
      <c r="BR619" s="8"/>
      <c r="BS619" s="7"/>
      <c r="BT619" s="7"/>
      <c r="BU619" s="2" t="s">
        <v>1437</v>
      </c>
      <c r="BV619" s="2" t="s">
        <v>95</v>
      </c>
      <c r="BW619" s="2" t="s">
        <v>98</v>
      </c>
      <c r="BX619" s="2" t="s">
        <v>98</v>
      </c>
      <c r="BY619" s="2" t="s">
        <v>111</v>
      </c>
    </row>
    <row r="620">
      <c r="A620" s="2" t="s">
        <v>2089</v>
      </c>
      <c r="B620" s="2" t="s">
        <v>86</v>
      </c>
      <c r="C620" s="2" t="s">
        <v>87</v>
      </c>
      <c r="D620" s="2" t="s">
        <v>2002</v>
      </c>
      <c r="E620" s="2" t="s">
        <v>2080</v>
      </c>
      <c r="F620" s="2" t="s">
        <v>1766</v>
      </c>
      <c r="G620" s="2" t="s">
        <v>1767</v>
      </c>
      <c r="H620" s="2" t="s">
        <v>1768</v>
      </c>
      <c r="I620" s="2" t="s">
        <v>2090</v>
      </c>
      <c r="J620" s="2" t="s">
        <v>2006</v>
      </c>
      <c r="K620" s="2" t="s">
        <v>312</v>
      </c>
      <c r="L620" s="3">
        <v>15.75</v>
      </c>
      <c r="M620" s="3">
        <v>16.54</v>
      </c>
      <c r="N620" s="3">
        <v>34.99</v>
      </c>
      <c r="O620" s="2" t="s">
        <v>368</v>
      </c>
      <c r="P620" s="2" t="s">
        <v>215</v>
      </c>
      <c r="Q620" s="2" t="s">
        <v>97</v>
      </c>
      <c r="R620" s="2" t="s">
        <v>98</v>
      </c>
      <c r="S620" s="2" t="s">
        <v>2087</v>
      </c>
      <c r="T620" s="2" t="s">
        <v>878</v>
      </c>
      <c r="U620" s="2" t="s">
        <v>100</v>
      </c>
      <c r="V620" s="2" t="s">
        <v>1416</v>
      </c>
      <c r="W620" s="2" t="s">
        <v>335</v>
      </c>
      <c r="X620" s="2" t="s">
        <v>98</v>
      </c>
      <c r="Y620" s="2" t="s">
        <v>1484</v>
      </c>
      <c r="Z620" s="4">
        <v>82</v>
      </c>
      <c r="AA620" s="4">
        <f>=ROUNDDOWN(117.142857142857,0)</f>
      </c>
      <c r="AB620" s="5">
        <v>0.7</v>
      </c>
      <c r="AC620" s="2" t="s">
        <v>98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 t="s">
        <v>98</v>
      </c>
      <c r="AW620" s="8" t="s">
        <v>98</v>
      </c>
      <c r="AX620" s="4" t="s">
        <v>98</v>
      </c>
      <c r="AY620" s="8" t="s">
        <v>98</v>
      </c>
      <c r="AZ620" s="7" t="s">
        <v>98</v>
      </c>
      <c r="BA620" s="7" t="s">
        <v>98</v>
      </c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3</v>
      </c>
      <c r="BK620" s="8">
        <v>30.44</v>
      </c>
      <c r="BL620" s="2" t="s">
        <v>2088</v>
      </c>
      <c r="BM620" s="7"/>
      <c r="BN620" s="7"/>
      <c r="BO620" s="4"/>
      <c r="BP620" s="8"/>
      <c r="BQ620" s="4"/>
      <c r="BR620" s="8"/>
      <c r="BS620" s="7"/>
      <c r="BT620" s="7"/>
      <c r="BU620" s="2" t="s">
        <v>1437</v>
      </c>
      <c r="BV620" s="2" t="s">
        <v>95</v>
      </c>
      <c r="BW620" s="2" t="s">
        <v>98</v>
      </c>
      <c r="BX620" s="2" t="s">
        <v>98</v>
      </c>
      <c r="BY620" s="2" t="s">
        <v>111</v>
      </c>
    </row>
    <row r="621">
      <c r="A621" s="2" t="s">
        <v>2091</v>
      </c>
      <c r="B621" s="2" t="s">
        <v>86</v>
      </c>
      <c r="C621" s="2" t="s">
        <v>87</v>
      </c>
      <c r="D621" s="2" t="s">
        <v>2002</v>
      </c>
      <c r="E621" s="2" t="s">
        <v>2080</v>
      </c>
      <c r="F621" s="2" t="s">
        <v>1766</v>
      </c>
      <c r="G621" s="2" t="s">
        <v>1767</v>
      </c>
      <c r="H621" s="2" t="s">
        <v>1768</v>
      </c>
      <c r="I621" s="2" t="s">
        <v>2086</v>
      </c>
      <c r="J621" s="2" t="s">
        <v>2029</v>
      </c>
      <c r="K621" s="2" t="s">
        <v>464</v>
      </c>
      <c r="L621" s="3">
        <v>13.5</v>
      </c>
      <c r="M621" s="3">
        <v>14.18</v>
      </c>
      <c r="N621" s="3">
        <v>29.99</v>
      </c>
      <c r="O621" s="2" t="s">
        <v>368</v>
      </c>
      <c r="P621" s="2" t="s">
        <v>215</v>
      </c>
      <c r="Q621" s="2" t="s">
        <v>97</v>
      </c>
      <c r="R621" s="2" t="s">
        <v>98</v>
      </c>
      <c r="S621" s="2" t="s">
        <v>1770</v>
      </c>
      <c r="T621" s="2" t="s">
        <v>98</v>
      </c>
      <c r="U621" s="2" t="s">
        <v>98</v>
      </c>
      <c r="V621" s="2" t="s">
        <v>334</v>
      </c>
      <c r="W621" s="2" t="s">
        <v>567</v>
      </c>
      <c r="X621" s="2" t="s">
        <v>1249</v>
      </c>
      <c r="Y621" s="2" t="s">
        <v>104</v>
      </c>
      <c r="Z621" s="4"/>
      <c r="AA621" s="4">
        <f>=ROUNDDOWN({0},0)</f>
      </c>
      <c r="AB621" s="5"/>
      <c r="AC621" s="2" t="s">
        <v>98</v>
      </c>
      <c r="AD621" s="4"/>
      <c r="AE621" s="4"/>
      <c r="AF621" s="6"/>
      <c r="AG621" s="6"/>
      <c r="AH621" s="7">
        <v>0.3667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>
        <v>2</v>
      </c>
      <c r="AS621" s="8">
        <v>22.96</v>
      </c>
      <c r="AT621" s="7">
        <v>-1</v>
      </c>
      <c r="AU621" s="7">
        <v>-1</v>
      </c>
      <c r="AV621" s="4" t="s">
        <v>98</v>
      </c>
      <c r="AW621" s="8" t="s">
        <v>98</v>
      </c>
      <c r="AX621" s="4">
        <v>6</v>
      </c>
      <c r="AY621" s="8">
        <v>78.08</v>
      </c>
      <c r="AZ621" s="7" t="s">
        <v>98</v>
      </c>
      <c r="BA621" s="7" t="s">
        <v>98</v>
      </c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/>
      <c r="BK621" s="8"/>
      <c r="BL621" s="2" t="s">
        <v>2092</v>
      </c>
      <c r="BM621" s="7"/>
      <c r="BN621" s="7"/>
      <c r="BO621" s="4"/>
      <c r="BP621" s="8"/>
      <c r="BQ621" s="4">
        <v>2</v>
      </c>
      <c r="BR621" s="8">
        <v>22.96</v>
      </c>
      <c r="BS621" s="7">
        <v>-1</v>
      </c>
      <c r="BT621" s="7">
        <v>-1</v>
      </c>
      <c r="BU621" s="2" t="s">
        <v>211</v>
      </c>
      <c r="BV621" s="2" t="s">
        <v>352</v>
      </c>
      <c r="BW621" s="2" t="s">
        <v>2083</v>
      </c>
      <c r="BX621" s="2" t="s">
        <v>2093</v>
      </c>
      <c r="BY621" s="2" t="s">
        <v>111</v>
      </c>
    </row>
    <row r="622">
      <c r="A622" s="2" t="s">
        <v>2094</v>
      </c>
      <c r="B622" s="2" t="s">
        <v>86</v>
      </c>
      <c r="C622" s="2" t="s">
        <v>87</v>
      </c>
      <c r="D622" s="2" t="s">
        <v>2002</v>
      </c>
      <c r="E622" s="2" t="s">
        <v>2080</v>
      </c>
      <c r="F622" s="2" t="s">
        <v>1766</v>
      </c>
      <c r="G622" s="2" t="s">
        <v>1767</v>
      </c>
      <c r="H622" s="2" t="s">
        <v>1768</v>
      </c>
      <c r="I622" s="2" t="s">
        <v>2090</v>
      </c>
      <c r="J622" s="2" t="s">
        <v>2006</v>
      </c>
      <c r="K622" s="2" t="s">
        <v>464</v>
      </c>
      <c r="L622" s="3">
        <v>15.75</v>
      </c>
      <c r="M622" s="3">
        <v>16.54</v>
      </c>
      <c r="N622" s="3">
        <v>34.99</v>
      </c>
      <c r="O622" s="2" t="s">
        <v>368</v>
      </c>
      <c r="P622" s="2" t="s">
        <v>215</v>
      </c>
      <c r="Q622" s="2" t="s">
        <v>97</v>
      </c>
      <c r="R622" s="2" t="s">
        <v>98</v>
      </c>
      <c r="S622" s="2" t="s">
        <v>1770</v>
      </c>
      <c r="T622" s="2" t="s">
        <v>98</v>
      </c>
      <c r="U622" s="2" t="s">
        <v>98</v>
      </c>
      <c r="V622" s="2" t="s">
        <v>334</v>
      </c>
      <c r="W622" s="2" t="s">
        <v>567</v>
      </c>
      <c r="X622" s="2" t="s">
        <v>1249</v>
      </c>
      <c r="Y622" s="2" t="s">
        <v>104</v>
      </c>
      <c r="Z622" s="4"/>
      <c r="AA622" s="4">
        <f>=ROUNDDOWN({0},0)</f>
      </c>
      <c r="AB622" s="5"/>
      <c r="AC622" s="2" t="s">
        <v>98</v>
      </c>
      <c r="AD622" s="4"/>
      <c r="AE622" s="4"/>
      <c r="AF622" s="6"/>
      <c r="AG622" s="6"/>
      <c r="AH622" s="7">
        <v>0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>
        <v>4</v>
      </c>
      <c r="AS622" s="8">
        <v>55.12</v>
      </c>
      <c r="AT622" s="7">
        <v>-1</v>
      </c>
      <c r="AU622" s="7">
        <v>-1</v>
      </c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/>
      <c r="BK622" s="8"/>
      <c r="BL622" s="2" t="s">
        <v>2095</v>
      </c>
      <c r="BM622" s="7"/>
      <c r="BN622" s="7"/>
      <c r="BO622" s="4"/>
      <c r="BP622" s="8"/>
      <c r="BQ622" s="4">
        <v>4</v>
      </c>
      <c r="BR622" s="8">
        <v>55.12</v>
      </c>
      <c r="BS622" s="7">
        <v>-1</v>
      </c>
      <c r="BT622" s="7">
        <v>-1</v>
      </c>
      <c r="BU622" s="2" t="s">
        <v>211</v>
      </c>
      <c r="BV622" s="2" t="s">
        <v>352</v>
      </c>
      <c r="BW622" s="2" t="s">
        <v>2083</v>
      </c>
      <c r="BX622" s="2" t="s">
        <v>2096</v>
      </c>
      <c r="BY622" s="2" t="s">
        <v>111</v>
      </c>
    </row>
    <row r="623">
      <c r="A623" s="2" t="s">
        <v>2097</v>
      </c>
      <c r="B623" s="2" t="s">
        <v>86</v>
      </c>
      <c r="C623" s="2" t="s">
        <v>87</v>
      </c>
      <c r="D623" s="2" t="s">
        <v>2002</v>
      </c>
      <c r="E623" s="2" t="s">
        <v>2080</v>
      </c>
      <c r="F623" s="2" t="s">
        <v>1766</v>
      </c>
      <c r="G623" s="2" t="s">
        <v>1767</v>
      </c>
      <c r="H623" s="2" t="s">
        <v>1768</v>
      </c>
      <c r="I623" s="2" t="s">
        <v>2086</v>
      </c>
      <c r="J623" s="2" t="s">
        <v>2029</v>
      </c>
      <c r="K623" s="2" t="s">
        <v>530</v>
      </c>
      <c r="L623" s="3">
        <v>13.5</v>
      </c>
      <c r="M623" s="3">
        <v>14.18</v>
      </c>
      <c r="N623" s="3">
        <v>29.99</v>
      </c>
      <c r="O623" s="2" t="s">
        <v>368</v>
      </c>
      <c r="P623" s="2" t="s">
        <v>215</v>
      </c>
      <c r="Q623" s="2" t="s">
        <v>97</v>
      </c>
      <c r="R623" s="2" t="s">
        <v>98</v>
      </c>
      <c r="S623" s="2" t="s">
        <v>1774</v>
      </c>
      <c r="T623" s="2" t="s">
        <v>98</v>
      </c>
      <c r="U623" s="2" t="s">
        <v>98</v>
      </c>
      <c r="V623" s="2" t="s">
        <v>334</v>
      </c>
      <c r="W623" s="2" t="s">
        <v>567</v>
      </c>
      <c r="X623" s="2" t="s">
        <v>1249</v>
      </c>
      <c r="Y623" s="2" t="s">
        <v>104</v>
      </c>
      <c r="Z623" s="4"/>
      <c r="AA623" s="4">
        <f>=ROUNDDOWN({0},0)</f>
      </c>
      <c r="AB623" s="5"/>
      <c r="AC623" s="2" t="s">
        <v>98</v>
      </c>
      <c r="AD623" s="4"/>
      <c r="AE623" s="4"/>
      <c r="AF623" s="6"/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>
        <v>3</v>
      </c>
      <c r="AS623" s="8">
        <v>34.44</v>
      </c>
      <c r="AT623" s="7">
        <v>-1</v>
      </c>
      <c r="AU623" s="7">
        <v>-1</v>
      </c>
      <c r="AV623" s="4"/>
      <c r="AW623" s="8"/>
      <c r="AX623" s="4">
        <v>3</v>
      </c>
      <c r="AY623" s="8">
        <v>34.44</v>
      </c>
      <c r="AZ623" s="7">
        <v>-1</v>
      </c>
      <c r="BA623" s="7">
        <v>-1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/>
      <c r="BK623" s="8"/>
      <c r="BL623" s="2" t="s">
        <v>2035</v>
      </c>
      <c r="BM623" s="7"/>
      <c r="BN623" s="7"/>
      <c r="BO623" s="4"/>
      <c r="BP623" s="8"/>
      <c r="BQ623" s="4">
        <v>3</v>
      </c>
      <c r="BR623" s="8">
        <v>34.44</v>
      </c>
      <c r="BS623" s="7">
        <v>-1</v>
      </c>
      <c r="BT623" s="7">
        <v>-1</v>
      </c>
      <c r="BU623" s="2" t="s">
        <v>211</v>
      </c>
      <c r="BV623" s="2" t="s">
        <v>352</v>
      </c>
      <c r="BW623" s="2" t="s">
        <v>2083</v>
      </c>
      <c r="BX623" s="2" t="s">
        <v>2098</v>
      </c>
      <c r="BY623" s="2" t="s">
        <v>111</v>
      </c>
    </row>
    <row r="624">
      <c r="A624" s="2" t="s">
        <v>2099</v>
      </c>
      <c r="B624" s="2" t="s">
        <v>86</v>
      </c>
      <c r="C624" s="2" t="s">
        <v>87</v>
      </c>
      <c r="D624" s="2" t="s">
        <v>2002</v>
      </c>
      <c r="E624" s="2" t="s">
        <v>2080</v>
      </c>
      <c r="F624" s="2" t="s">
        <v>1766</v>
      </c>
      <c r="G624" s="2" t="s">
        <v>1767</v>
      </c>
      <c r="H624" s="2" t="s">
        <v>1768</v>
      </c>
      <c r="I624" s="2" t="s">
        <v>2086</v>
      </c>
      <c r="J624" s="2" t="s">
        <v>2029</v>
      </c>
      <c r="K624" s="2" t="s">
        <v>299</v>
      </c>
      <c r="L624" s="3">
        <v>13.5</v>
      </c>
      <c r="M624" s="3">
        <v>14.18</v>
      </c>
      <c r="N624" s="3">
        <v>29.99</v>
      </c>
      <c r="O624" s="2" t="s">
        <v>368</v>
      </c>
      <c r="P624" s="2" t="s">
        <v>215</v>
      </c>
      <c r="Q624" s="2" t="s">
        <v>97</v>
      </c>
      <c r="R624" s="2" t="s">
        <v>98</v>
      </c>
      <c r="S624" s="2" t="s">
        <v>1778</v>
      </c>
      <c r="T624" s="2" t="s">
        <v>98</v>
      </c>
      <c r="U624" s="2" t="s">
        <v>98</v>
      </c>
      <c r="V624" s="2" t="s">
        <v>1416</v>
      </c>
      <c r="W624" s="2" t="s">
        <v>567</v>
      </c>
      <c r="X624" s="2" t="s">
        <v>1249</v>
      </c>
      <c r="Y624" s="2" t="s">
        <v>104</v>
      </c>
      <c r="Z624" s="4"/>
      <c r="AA624" s="4">
        <f>=ROUNDDOWN({0},0)</f>
      </c>
      <c r="AB624" s="5"/>
      <c r="AC624" s="2" t="s">
        <v>98</v>
      </c>
      <c r="AD624" s="4"/>
      <c r="AE624" s="4"/>
      <c r="AF624" s="6"/>
      <c r="AG624" s="6"/>
      <c r="AH624" s="7">
        <v>0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>
        <v>13</v>
      </c>
      <c r="AS624" s="8">
        <v>149.24</v>
      </c>
      <c r="AT624" s="7">
        <v>-1</v>
      </c>
      <c r="AU624" s="7">
        <v>-1</v>
      </c>
      <c r="AV624" s="4"/>
      <c r="AW624" s="8"/>
      <c r="AX624" s="4">
        <v>13</v>
      </c>
      <c r="AY624" s="8">
        <v>149.24</v>
      </c>
      <c r="AZ624" s="7">
        <v>-1</v>
      </c>
      <c r="BA624" s="7">
        <v>-1</v>
      </c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/>
      <c r="BK624" s="8"/>
      <c r="BL624" s="2" t="s">
        <v>2100</v>
      </c>
      <c r="BM624" s="7"/>
      <c r="BN624" s="7"/>
      <c r="BO624" s="4"/>
      <c r="BP624" s="8"/>
      <c r="BQ624" s="4">
        <v>13</v>
      </c>
      <c r="BR624" s="8">
        <v>149.24</v>
      </c>
      <c r="BS624" s="7">
        <v>-1</v>
      </c>
      <c r="BT624" s="7">
        <v>-1</v>
      </c>
      <c r="BU624" s="2" t="s">
        <v>211</v>
      </c>
      <c r="BV624" s="2" t="s">
        <v>352</v>
      </c>
      <c r="BW624" s="2" t="s">
        <v>2083</v>
      </c>
      <c r="BX624" s="2" t="s">
        <v>2101</v>
      </c>
      <c r="BY624" s="2" t="s">
        <v>111</v>
      </c>
    </row>
    <row r="625">
      <c r="A625" s="2" t="s">
        <v>2102</v>
      </c>
      <c r="B625" s="2" t="s">
        <v>86</v>
      </c>
      <c r="C625" s="2" t="s">
        <v>87</v>
      </c>
      <c r="D625" s="2" t="s">
        <v>2002</v>
      </c>
      <c r="E625" s="2" t="s">
        <v>2080</v>
      </c>
      <c r="F625" s="2" t="s">
        <v>1728</v>
      </c>
      <c r="G625" s="2" t="s">
        <v>1729</v>
      </c>
      <c r="H625" s="2" t="s">
        <v>1730</v>
      </c>
      <c r="I625" s="2" t="s">
        <v>2103</v>
      </c>
      <c r="J625" s="2" t="s">
        <v>2029</v>
      </c>
      <c r="K625" s="2" t="s">
        <v>551</v>
      </c>
      <c r="L625" s="3">
        <v>13.5</v>
      </c>
      <c r="M625" s="3">
        <v>14.18</v>
      </c>
      <c r="N625" s="3">
        <v>29.99</v>
      </c>
      <c r="O625" s="2" t="s">
        <v>368</v>
      </c>
      <c r="P625" s="2" t="s">
        <v>215</v>
      </c>
      <c r="Q625" s="2" t="s">
        <v>97</v>
      </c>
      <c r="R625" s="2" t="s">
        <v>98</v>
      </c>
      <c r="S625" s="2" t="s">
        <v>1746</v>
      </c>
      <c r="T625" s="2" t="s">
        <v>98</v>
      </c>
      <c r="U625" s="2" t="s">
        <v>98</v>
      </c>
      <c r="V625" s="2" t="s">
        <v>101</v>
      </c>
      <c r="W625" s="2" t="s">
        <v>567</v>
      </c>
      <c r="X625" s="2" t="s">
        <v>98</v>
      </c>
      <c r="Y625" s="2" t="s">
        <v>104</v>
      </c>
      <c r="Z625" s="4"/>
      <c r="AA625" s="4">
        <f>=ROUNDDOWN({0},0)</f>
      </c>
      <c r="AB625" s="5"/>
      <c r="AC625" s="2" t="s">
        <v>98</v>
      </c>
      <c r="AD625" s="4"/>
      <c r="AE625" s="4"/>
      <c r="AF625" s="6"/>
      <c r="AG625" s="6"/>
      <c r="AH625" s="7">
        <v>0.3667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>
        <v>13</v>
      </c>
      <c r="AS625" s="8">
        <v>145.08</v>
      </c>
      <c r="AT625" s="7">
        <v>-1</v>
      </c>
      <c r="AU625" s="7">
        <v>-1</v>
      </c>
      <c r="AV625" s="4"/>
      <c r="AW625" s="8"/>
      <c r="AX625" s="4">
        <v>13</v>
      </c>
      <c r="AY625" s="8">
        <v>145.08</v>
      </c>
      <c r="AZ625" s="7">
        <v>-1</v>
      </c>
      <c r="BA625" s="7">
        <v>-1</v>
      </c>
      <c r="BB625" s="7"/>
      <c r="BC625" s="4"/>
      <c r="BD625" s="8"/>
      <c r="BE625" s="4">
        <v>13</v>
      </c>
      <c r="BF625" s="8">
        <v>145.08</v>
      </c>
      <c r="BG625" s="7">
        <v>-1</v>
      </c>
      <c r="BH625" s="7">
        <v>-1</v>
      </c>
      <c r="BI625" s="7"/>
      <c r="BJ625" s="4"/>
      <c r="BK625" s="8"/>
      <c r="BL625" s="2" t="s">
        <v>2104</v>
      </c>
      <c r="BM625" s="7"/>
      <c r="BN625" s="7"/>
      <c r="BO625" s="4"/>
      <c r="BP625" s="8"/>
      <c r="BQ625" s="4">
        <v>13</v>
      </c>
      <c r="BR625" s="8">
        <v>145.08</v>
      </c>
      <c r="BS625" s="7">
        <v>-1</v>
      </c>
      <c r="BT625" s="7">
        <v>-1</v>
      </c>
      <c r="BU625" s="2" t="s">
        <v>211</v>
      </c>
      <c r="BV625" s="2" t="s">
        <v>352</v>
      </c>
      <c r="BW625" s="2" t="s">
        <v>1735</v>
      </c>
      <c r="BX625" s="2" t="s">
        <v>1445</v>
      </c>
      <c r="BY625" s="2" t="s">
        <v>111</v>
      </c>
    </row>
    <row r="626">
      <c r="A626" s="2" t="s">
        <v>2105</v>
      </c>
      <c r="B626" s="2" t="s">
        <v>86</v>
      </c>
      <c r="C626" s="2" t="s">
        <v>2106</v>
      </c>
      <c r="D626" s="2" t="s">
        <v>88</v>
      </c>
      <c r="E626" s="2" t="s">
        <v>88</v>
      </c>
      <c r="F626" s="2" t="s">
        <v>2107</v>
      </c>
      <c r="G626" s="2" t="s">
        <v>2108</v>
      </c>
      <c r="H626" s="2" t="s">
        <v>2109</v>
      </c>
      <c r="I626" s="2" t="s">
        <v>2110</v>
      </c>
      <c r="J626" s="2" t="s">
        <v>93</v>
      </c>
      <c r="K626" s="2" t="s">
        <v>199</v>
      </c>
      <c r="L626" s="3">
        <v>16.8</v>
      </c>
      <c r="M626" s="3">
        <v>17.64</v>
      </c>
      <c r="N626" s="3">
        <v>39.99</v>
      </c>
      <c r="O626" s="2" t="s">
        <v>95</v>
      </c>
      <c r="P626" s="2" t="s">
        <v>150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98</v>
      </c>
      <c r="V626" s="2" t="s">
        <v>2050</v>
      </c>
      <c r="W626" s="2" t="s">
        <v>2111</v>
      </c>
      <c r="X626" s="2" t="s">
        <v>130</v>
      </c>
      <c r="Y626" s="2" t="s">
        <v>2112</v>
      </c>
      <c r="Z626" s="4">
        <v>488</v>
      </c>
      <c r="AA626" s="4">
        <f>=ROUNDDOWN(13.9428571428571,0)</f>
      </c>
      <c r="AB626" s="5">
        <v>35</v>
      </c>
      <c r="AC626" s="2" t="s">
        <v>2113</v>
      </c>
      <c r="AD626" s="4">
        <v>100</v>
      </c>
      <c r="AE626" s="4">
        <v>844</v>
      </c>
      <c r="AF626" s="6">
        <v>68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170</v>
      </c>
      <c r="AQ626" s="8">
        <v>3231.7</v>
      </c>
      <c r="AR626" s="4">
        <v>516</v>
      </c>
      <c r="AS626" s="8">
        <v>7373.64</v>
      </c>
      <c r="AT626" s="7">
        <v>-0.6705</v>
      </c>
      <c r="AU626" s="7">
        <v>-0.5617</v>
      </c>
      <c r="AV626" s="4">
        <v>308</v>
      </c>
      <c r="AW626" s="8">
        <v>6319.9</v>
      </c>
      <c r="AX626" s="4">
        <v>1225</v>
      </c>
      <c r="AY626" s="8">
        <v>19021.97</v>
      </c>
      <c r="AZ626" s="7">
        <v>-0.7486</v>
      </c>
      <c r="BA626" s="7">
        <v>-0.6678</v>
      </c>
      <c r="BB626" s="7">
        <v>0.5114</v>
      </c>
      <c r="BC626" s="4">
        <v>668</v>
      </c>
      <c r="BD626" s="8">
        <v>13807.86</v>
      </c>
      <c r="BE626" s="4">
        <v>3672</v>
      </c>
      <c r="BF626" s="8">
        <v>56494.52</v>
      </c>
      <c r="BG626" s="7">
        <v>-0.8181</v>
      </c>
      <c r="BH626" s="7">
        <v>-0.7556</v>
      </c>
      <c r="BI626" s="7">
        <v>0.4577</v>
      </c>
      <c r="BJ626" s="4">
        <v>577</v>
      </c>
      <c r="BK626" s="8">
        <v>10015.76</v>
      </c>
      <c r="BL626" s="2" t="s">
        <v>2114</v>
      </c>
      <c r="BM626" s="7">
        <v>0.2946</v>
      </c>
      <c r="BN626" s="7">
        <v>0.3227</v>
      </c>
      <c r="BO626" s="4">
        <v>170</v>
      </c>
      <c r="BP626" s="8">
        <v>3231.7</v>
      </c>
      <c r="BQ626" s="4">
        <v>516</v>
      </c>
      <c r="BR626" s="8">
        <v>7373.64</v>
      </c>
      <c r="BS626" s="7">
        <v>-0.6705</v>
      </c>
      <c r="BT626" s="7">
        <v>-0.5617</v>
      </c>
      <c r="BU626" s="2" t="s">
        <v>107</v>
      </c>
      <c r="BV626" s="2" t="s">
        <v>108</v>
      </c>
      <c r="BW626" s="2" t="s">
        <v>2115</v>
      </c>
      <c r="BX626" s="2" t="s">
        <v>357</v>
      </c>
      <c r="BY626" s="2" t="s">
        <v>111</v>
      </c>
    </row>
    <row r="627">
      <c r="A627" s="2" t="s">
        <v>2116</v>
      </c>
      <c r="B627" s="2" t="s">
        <v>86</v>
      </c>
      <c r="C627" s="2" t="s">
        <v>2106</v>
      </c>
      <c r="D627" s="2" t="s">
        <v>88</v>
      </c>
      <c r="E627" s="2" t="s">
        <v>88</v>
      </c>
      <c r="F627" s="2" t="s">
        <v>2107</v>
      </c>
      <c r="G627" s="2" t="s">
        <v>2108</v>
      </c>
      <c r="H627" s="2" t="s">
        <v>2109</v>
      </c>
      <c r="I627" s="2" t="s">
        <v>2110</v>
      </c>
      <c r="J627" s="2" t="s">
        <v>113</v>
      </c>
      <c r="K627" s="2" t="s">
        <v>199</v>
      </c>
      <c r="L627" s="3">
        <v>18</v>
      </c>
      <c r="M627" s="3">
        <v>18.9</v>
      </c>
      <c r="N627" s="3">
        <v>44.99</v>
      </c>
      <c r="O627" s="2" t="s">
        <v>95</v>
      </c>
      <c r="P627" s="2" t="s">
        <v>150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98</v>
      </c>
      <c r="V627" s="2" t="s">
        <v>2050</v>
      </c>
      <c r="W627" s="2" t="s">
        <v>2111</v>
      </c>
      <c r="X627" s="2" t="s">
        <v>130</v>
      </c>
      <c r="Y627" s="2" t="s">
        <v>2112</v>
      </c>
      <c r="Z627" s="4">
        <v>322</v>
      </c>
      <c r="AA627" s="4">
        <f>=ROUNDDOWN(14,0)</f>
      </c>
      <c r="AB627" s="5">
        <v>23</v>
      </c>
      <c r="AC627" s="2" t="s">
        <v>2113</v>
      </c>
      <c r="AD627" s="4">
        <v>148</v>
      </c>
      <c r="AE627" s="4">
        <v>700</v>
      </c>
      <c r="AF627" s="6">
        <v>68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78</v>
      </c>
      <c r="AQ627" s="8">
        <v>1630.2</v>
      </c>
      <c r="AR627" s="4">
        <v>454</v>
      </c>
      <c r="AS627" s="8">
        <v>7091.48</v>
      </c>
      <c r="AT627" s="7">
        <v>-0.8282</v>
      </c>
      <c r="AU627" s="7">
        <v>-0.7701</v>
      </c>
      <c r="AV627" s="4" t="s">
        <v>98</v>
      </c>
      <c r="AW627" s="8" t="s">
        <v>98</v>
      </c>
      <c r="AX627" s="4" t="s">
        <v>98</v>
      </c>
      <c r="AY627" s="8" t="s">
        <v>98</v>
      </c>
      <c r="AZ627" s="7" t="s">
        <v>98</v>
      </c>
      <c r="BA627" s="7" t="s">
        <v>98</v>
      </c>
      <c r="BB627" s="7">
        <v>0.2579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 t="s">
        <v>98</v>
      </c>
      <c r="BJ627" s="4">
        <v>311</v>
      </c>
      <c r="BK627" s="8">
        <v>5992.97</v>
      </c>
      <c r="BL627" s="2" t="s">
        <v>951</v>
      </c>
      <c r="BM627" s="7">
        <v>0.2508</v>
      </c>
      <c r="BN627" s="7">
        <v>0.272</v>
      </c>
      <c r="BO627" s="4">
        <v>78</v>
      </c>
      <c r="BP627" s="8">
        <v>1630.2</v>
      </c>
      <c r="BQ627" s="4">
        <v>454</v>
      </c>
      <c r="BR627" s="8">
        <v>7091.48</v>
      </c>
      <c r="BS627" s="7">
        <v>-0.8282</v>
      </c>
      <c r="BT627" s="7">
        <v>-0.7701</v>
      </c>
      <c r="BU627" s="2" t="s">
        <v>107</v>
      </c>
      <c r="BV627" s="2" t="s">
        <v>108</v>
      </c>
      <c r="BW627" s="2" t="s">
        <v>2115</v>
      </c>
      <c r="BX627" s="2" t="s">
        <v>2117</v>
      </c>
      <c r="BY627" s="2" t="s">
        <v>111</v>
      </c>
    </row>
    <row r="628">
      <c r="A628" s="2" t="s">
        <v>2118</v>
      </c>
      <c r="B628" s="2" t="s">
        <v>86</v>
      </c>
      <c r="C628" s="2" t="s">
        <v>2106</v>
      </c>
      <c r="D628" s="2" t="s">
        <v>88</v>
      </c>
      <c r="E628" s="2" t="s">
        <v>88</v>
      </c>
      <c r="F628" s="2" t="s">
        <v>2107</v>
      </c>
      <c r="G628" s="2" t="s">
        <v>2108</v>
      </c>
      <c r="H628" s="2" t="s">
        <v>2109</v>
      </c>
      <c r="I628" s="2" t="s">
        <v>2110</v>
      </c>
      <c r="J628" s="2" t="s">
        <v>118</v>
      </c>
      <c r="K628" s="2" t="s">
        <v>199</v>
      </c>
      <c r="L628" s="3">
        <v>21</v>
      </c>
      <c r="M628" s="3">
        <v>22.05</v>
      </c>
      <c r="N628" s="3">
        <v>49.99</v>
      </c>
      <c r="O628" s="2" t="s">
        <v>95</v>
      </c>
      <c r="P628" s="2" t="s">
        <v>150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98</v>
      </c>
      <c r="V628" s="2" t="s">
        <v>2050</v>
      </c>
      <c r="W628" s="2" t="s">
        <v>2111</v>
      </c>
      <c r="X628" s="2" t="s">
        <v>130</v>
      </c>
      <c r="Y628" s="2" t="s">
        <v>2112</v>
      </c>
      <c r="Z628" s="4">
        <v>351</v>
      </c>
      <c r="AA628" s="4">
        <f>=ROUNDDOWN(29.25,0)</f>
      </c>
      <c r="AB628" s="5">
        <v>12</v>
      </c>
      <c r="AC628" s="2" t="s">
        <v>658</v>
      </c>
      <c r="AD628" s="4">
        <v>96</v>
      </c>
      <c r="AE628" s="4">
        <v>96</v>
      </c>
      <c r="AF628" s="6">
        <v>68</v>
      </c>
      <c r="AG628" s="6"/>
      <c r="AH628" s="7">
        <v>1</v>
      </c>
      <c r="AI628" s="4">
        <v>1</v>
      </c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60</v>
      </c>
      <c r="AQ628" s="8">
        <v>1458</v>
      </c>
      <c r="AR628" s="4">
        <v>255</v>
      </c>
      <c r="AS628" s="8">
        <v>4556.85</v>
      </c>
      <c r="AT628" s="7">
        <v>-0.7647</v>
      </c>
      <c r="AU628" s="7">
        <v>-0.68</v>
      </c>
      <c r="AV628" s="4" t="s">
        <v>98</v>
      </c>
      <c r="AW628" s="8" t="s">
        <v>98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>
        <v>0.2307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 t="s">
        <v>98</v>
      </c>
      <c r="BJ628" s="4">
        <v>293</v>
      </c>
      <c r="BK628" s="8">
        <v>6408.76</v>
      </c>
      <c r="BL628" s="2" t="s">
        <v>1354</v>
      </c>
      <c r="BM628" s="7">
        <v>0.2048</v>
      </c>
      <c r="BN628" s="7">
        <v>0.2275</v>
      </c>
      <c r="BO628" s="4">
        <v>60</v>
      </c>
      <c r="BP628" s="8">
        <v>1458</v>
      </c>
      <c r="BQ628" s="4">
        <v>255</v>
      </c>
      <c r="BR628" s="8">
        <v>4556.85</v>
      </c>
      <c r="BS628" s="7">
        <v>-0.7647</v>
      </c>
      <c r="BT628" s="7">
        <v>-0.68</v>
      </c>
      <c r="BU628" s="2" t="s">
        <v>107</v>
      </c>
      <c r="BV628" s="2" t="s">
        <v>108</v>
      </c>
      <c r="BW628" s="2" t="s">
        <v>2115</v>
      </c>
      <c r="BX628" s="2" t="s">
        <v>2119</v>
      </c>
      <c r="BY628" s="2" t="s">
        <v>111</v>
      </c>
    </row>
    <row r="629">
      <c r="A629" s="2" t="s">
        <v>2120</v>
      </c>
      <c r="B629" s="2" t="s">
        <v>86</v>
      </c>
      <c r="C629" s="2" t="s">
        <v>2106</v>
      </c>
      <c r="D629" s="2" t="s">
        <v>88</v>
      </c>
      <c r="E629" s="2" t="s">
        <v>88</v>
      </c>
      <c r="F629" s="2" t="s">
        <v>2107</v>
      </c>
      <c r="G629" s="2" t="s">
        <v>2108</v>
      </c>
      <c r="H629" s="2" t="s">
        <v>2109</v>
      </c>
      <c r="I629" s="2" t="s">
        <v>2110</v>
      </c>
      <c r="J629" s="2" t="s">
        <v>93</v>
      </c>
      <c r="K629" s="2" t="s">
        <v>299</v>
      </c>
      <c r="L629" s="3">
        <v>16.8</v>
      </c>
      <c r="M629" s="3">
        <v>17.64</v>
      </c>
      <c r="N629" s="3">
        <v>39.99</v>
      </c>
      <c r="O629" s="2" t="s">
        <v>95</v>
      </c>
      <c r="P629" s="2" t="s">
        <v>150</v>
      </c>
      <c r="Q629" s="2" t="s">
        <v>97</v>
      </c>
      <c r="R629" s="2" t="s">
        <v>98</v>
      </c>
      <c r="S629" s="2" t="s">
        <v>2121</v>
      </c>
      <c r="T629" s="2" t="s">
        <v>98</v>
      </c>
      <c r="U629" s="2" t="s">
        <v>100</v>
      </c>
      <c r="V629" s="2" t="s">
        <v>2050</v>
      </c>
      <c r="W629" s="2" t="s">
        <v>2111</v>
      </c>
      <c r="X629" s="2" t="s">
        <v>130</v>
      </c>
      <c r="Y629" s="2" t="s">
        <v>2122</v>
      </c>
      <c r="Z629" s="4">
        <v>334</v>
      </c>
      <c r="AA629" s="4">
        <f>=ROUNDDOWN(12.8461538461538,0)</f>
      </c>
      <c r="AB629" s="5">
        <v>26</v>
      </c>
      <c r="AC629" s="2" t="s">
        <v>624</v>
      </c>
      <c r="AD629" s="4">
        <v>312</v>
      </c>
      <c r="AE629" s="4">
        <v>312</v>
      </c>
      <c r="AF629" s="6">
        <v>68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120</v>
      </c>
      <c r="AQ629" s="8">
        <v>2281.2</v>
      </c>
      <c r="AR629" s="4">
        <v>416</v>
      </c>
      <c r="AS629" s="8">
        <v>5944.64</v>
      </c>
      <c r="AT629" s="7">
        <v>-0.7115</v>
      </c>
      <c r="AU629" s="7">
        <v>-0.6163</v>
      </c>
      <c r="AV629" s="4">
        <v>199</v>
      </c>
      <c r="AW629" s="8">
        <v>4000.3</v>
      </c>
      <c r="AX629" s="4">
        <v>850</v>
      </c>
      <c r="AY629" s="8">
        <v>13137.72</v>
      </c>
      <c r="AZ629" s="7">
        <v>-0.7659</v>
      </c>
      <c r="BA629" s="7">
        <v>-0.6955</v>
      </c>
      <c r="BB629" s="7">
        <v>0.5703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0.2897</v>
      </c>
      <c r="BJ629" s="4">
        <v>420</v>
      </c>
      <c r="BK629" s="8">
        <v>7366.76</v>
      </c>
      <c r="BL629" s="2" t="s">
        <v>2123</v>
      </c>
      <c r="BM629" s="7">
        <v>0.2857</v>
      </c>
      <c r="BN629" s="7">
        <v>0.3097</v>
      </c>
      <c r="BO629" s="4">
        <v>120</v>
      </c>
      <c r="BP629" s="8">
        <v>2281.2</v>
      </c>
      <c r="BQ629" s="4">
        <v>416</v>
      </c>
      <c r="BR629" s="8">
        <v>5944.64</v>
      </c>
      <c r="BS629" s="7">
        <v>-0.7115</v>
      </c>
      <c r="BT629" s="7">
        <v>-0.6163</v>
      </c>
      <c r="BU629" s="2" t="s">
        <v>107</v>
      </c>
      <c r="BV629" s="2" t="s">
        <v>108</v>
      </c>
      <c r="BW629" s="2" t="s">
        <v>2124</v>
      </c>
      <c r="BX629" s="2" t="s">
        <v>2125</v>
      </c>
      <c r="BY629" s="2" t="s">
        <v>111</v>
      </c>
    </row>
    <row r="630">
      <c r="A630" s="2" t="s">
        <v>2126</v>
      </c>
      <c r="B630" s="2" t="s">
        <v>86</v>
      </c>
      <c r="C630" s="2" t="s">
        <v>2106</v>
      </c>
      <c r="D630" s="2" t="s">
        <v>88</v>
      </c>
      <c r="E630" s="2" t="s">
        <v>88</v>
      </c>
      <c r="F630" s="2" t="s">
        <v>2107</v>
      </c>
      <c r="G630" s="2" t="s">
        <v>2108</v>
      </c>
      <c r="H630" s="2" t="s">
        <v>2109</v>
      </c>
      <c r="I630" s="2" t="s">
        <v>2110</v>
      </c>
      <c r="J630" s="2" t="s">
        <v>113</v>
      </c>
      <c r="K630" s="2" t="s">
        <v>299</v>
      </c>
      <c r="L630" s="3">
        <v>18</v>
      </c>
      <c r="M630" s="3">
        <v>18.9</v>
      </c>
      <c r="N630" s="3">
        <v>44.99</v>
      </c>
      <c r="O630" s="2" t="s">
        <v>95</v>
      </c>
      <c r="P630" s="2" t="s">
        <v>150</v>
      </c>
      <c r="Q630" s="2" t="s">
        <v>97</v>
      </c>
      <c r="R630" s="2" t="s">
        <v>98</v>
      </c>
      <c r="S630" s="2" t="s">
        <v>2121</v>
      </c>
      <c r="T630" s="2" t="s">
        <v>98</v>
      </c>
      <c r="U630" s="2" t="s">
        <v>100</v>
      </c>
      <c r="V630" s="2" t="s">
        <v>2050</v>
      </c>
      <c r="W630" s="2" t="s">
        <v>2111</v>
      </c>
      <c r="X630" s="2" t="s">
        <v>130</v>
      </c>
      <c r="Y630" s="2" t="s">
        <v>2122</v>
      </c>
      <c r="Z630" s="4">
        <v>170</v>
      </c>
      <c r="AA630" s="4">
        <f>=ROUNDDOWN(12.1428571428571,0)</f>
      </c>
      <c r="AB630" s="5">
        <v>14</v>
      </c>
      <c r="AC630" s="2" t="s">
        <v>309</v>
      </c>
      <c r="AD630" s="4">
        <v>144</v>
      </c>
      <c r="AE630" s="4">
        <v>340</v>
      </c>
      <c r="AF630" s="6">
        <v>68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59</v>
      </c>
      <c r="AQ630" s="8">
        <v>1233.1</v>
      </c>
      <c r="AR630" s="4">
        <v>250</v>
      </c>
      <c r="AS630" s="8">
        <v>3905</v>
      </c>
      <c r="AT630" s="7">
        <v>-0.764</v>
      </c>
      <c r="AU630" s="7">
        <v>-0.6842</v>
      </c>
      <c r="AV630" s="4" t="s">
        <v>98</v>
      </c>
      <c r="AW630" s="8" t="s">
        <v>98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>
        <v>0.3083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 t="s">
        <v>98</v>
      </c>
      <c r="BJ630" s="4">
        <v>246</v>
      </c>
      <c r="BK630" s="8">
        <v>4781.27</v>
      </c>
      <c r="BL630" s="2" t="s">
        <v>951</v>
      </c>
      <c r="BM630" s="7">
        <v>0.2398</v>
      </c>
      <c r="BN630" s="7">
        <v>0.2579</v>
      </c>
      <c r="BO630" s="4">
        <v>59</v>
      </c>
      <c r="BP630" s="8">
        <v>1233.1</v>
      </c>
      <c r="BQ630" s="4">
        <v>250</v>
      </c>
      <c r="BR630" s="8">
        <v>3905</v>
      </c>
      <c r="BS630" s="7">
        <v>-0.764</v>
      </c>
      <c r="BT630" s="7">
        <v>-0.6842</v>
      </c>
      <c r="BU630" s="2" t="s">
        <v>107</v>
      </c>
      <c r="BV630" s="2" t="s">
        <v>108</v>
      </c>
      <c r="BW630" s="2" t="s">
        <v>2124</v>
      </c>
      <c r="BX630" s="2" t="s">
        <v>2125</v>
      </c>
      <c r="BY630" s="2" t="s">
        <v>111</v>
      </c>
    </row>
    <row r="631">
      <c r="A631" s="2" t="s">
        <v>2127</v>
      </c>
      <c r="B631" s="2" t="s">
        <v>86</v>
      </c>
      <c r="C631" s="2" t="s">
        <v>2106</v>
      </c>
      <c r="D631" s="2" t="s">
        <v>88</v>
      </c>
      <c r="E631" s="2" t="s">
        <v>88</v>
      </c>
      <c r="F631" s="2" t="s">
        <v>2107</v>
      </c>
      <c r="G631" s="2" t="s">
        <v>2108</v>
      </c>
      <c r="H631" s="2" t="s">
        <v>2109</v>
      </c>
      <c r="I631" s="2" t="s">
        <v>2110</v>
      </c>
      <c r="J631" s="2" t="s">
        <v>118</v>
      </c>
      <c r="K631" s="2" t="s">
        <v>299</v>
      </c>
      <c r="L631" s="3">
        <v>21</v>
      </c>
      <c r="M631" s="3">
        <v>22.05</v>
      </c>
      <c r="N631" s="3">
        <v>49.99</v>
      </c>
      <c r="O631" s="2" t="s">
        <v>95</v>
      </c>
      <c r="P631" s="2" t="s">
        <v>150</v>
      </c>
      <c r="Q631" s="2" t="s">
        <v>97</v>
      </c>
      <c r="R631" s="2" t="s">
        <v>98</v>
      </c>
      <c r="S631" s="2" t="s">
        <v>2121</v>
      </c>
      <c r="T631" s="2" t="s">
        <v>98</v>
      </c>
      <c r="U631" s="2" t="s">
        <v>100</v>
      </c>
      <c r="V631" s="2" t="s">
        <v>2050</v>
      </c>
      <c r="W631" s="2" t="s">
        <v>2111</v>
      </c>
      <c r="X631" s="2" t="s">
        <v>130</v>
      </c>
      <c r="Y631" s="2" t="s">
        <v>2122</v>
      </c>
      <c r="Z631" s="4">
        <v>66</v>
      </c>
      <c r="AA631" s="4">
        <f>=ROUNDDOWN(7.33333333333333,0)</f>
      </c>
      <c r="AB631" s="5">
        <v>9</v>
      </c>
      <c r="AC631" s="2" t="s">
        <v>309</v>
      </c>
      <c r="AD631" s="4">
        <v>120</v>
      </c>
      <c r="AE631" s="4">
        <v>182</v>
      </c>
      <c r="AF631" s="6">
        <v>68</v>
      </c>
      <c r="AG631" s="6"/>
      <c r="AH631" s="7">
        <v>1</v>
      </c>
      <c r="AI631" s="4">
        <v>1</v>
      </c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20</v>
      </c>
      <c r="AQ631" s="8">
        <v>486</v>
      </c>
      <c r="AR631" s="4">
        <v>184</v>
      </c>
      <c r="AS631" s="8">
        <v>3288.08</v>
      </c>
      <c r="AT631" s="7">
        <v>-0.8913</v>
      </c>
      <c r="AU631" s="7">
        <v>-0.8522</v>
      </c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>
        <v>0.1215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 t="s">
        <v>98</v>
      </c>
      <c r="BJ631" s="4">
        <v>176</v>
      </c>
      <c r="BK631" s="8">
        <v>3794.55</v>
      </c>
      <c r="BL631" s="2" t="s">
        <v>2128</v>
      </c>
      <c r="BM631" s="7">
        <v>0.1136</v>
      </c>
      <c r="BN631" s="7">
        <v>0.1281</v>
      </c>
      <c r="BO631" s="4">
        <v>20</v>
      </c>
      <c r="BP631" s="8">
        <v>486</v>
      </c>
      <c r="BQ631" s="4">
        <v>184</v>
      </c>
      <c r="BR631" s="8">
        <v>3288.08</v>
      </c>
      <c r="BS631" s="7">
        <v>-0.8913</v>
      </c>
      <c r="BT631" s="7">
        <v>-0.8522</v>
      </c>
      <c r="BU631" s="2" t="s">
        <v>107</v>
      </c>
      <c r="BV631" s="2" t="s">
        <v>108</v>
      </c>
      <c r="BW631" s="2" t="s">
        <v>2124</v>
      </c>
      <c r="BX631" s="2" t="s">
        <v>2129</v>
      </c>
      <c r="BY631" s="2" t="s">
        <v>111</v>
      </c>
    </row>
    <row r="632">
      <c r="A632" s="2" t="s">
        <v>2130</v>
      </c>
      <c r="B632" s="2" t="s">
        <v>86</v>
      </c>
      <c r="C632" s="2" t="s">
        <v>2106</v>
      </c>
      <c r="D632" s="2" t="s">
        <v>88</v>
      </c>
      <c r="E632" s="2" t="s">
        <v>88</v>
      </c>
      <c r="F632" s="2" t="s">
        <v>2107</v>
      </c>
      <c r="G632" s="2" t="s">
        <v>2108</v>
      </c>
      <c r="H632" s="2" t="s">
        <v>2109</v>
      </c>
      <c r="I632" s="2" t="s">
        <v>2110</v>
      </c>
      <c r="J632" s="2" t="s">
        <v>93</v>
      </c>
      <c r="K632" s="2" t="s">
        <v>137</v>
      </c>
      <c r="L632" s="3">
        <v>16.8</v>
      </c>
      <c r="M632" s="3">
        <v>17.64</v>
      </c>
      <c r="N632" s="3">
        <v>39.99</v>
      </c>
      <c r="O632" s="2" t="s">
        <v>95</v>
      </c>
      <c r="P632" s="2" t="s">
        <v>699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98</v>
      </c>
      <c r="V632" s="2" t="s">
        <v>2050</v>
      </c>
      <c r="W632" s="2" t="s">
        <v>2111</v>
      </c>
      <c r="X632" s="2" t="s">
        <v>130</v>
      </c>
      <c r="Y632" s="2" t="s">
        <v>2112</v>
      </c>
      <c r="Z632" s="4"/>
      <c r="AA632" s="4">
        <f>=ROUNDDOWN({0},0)</f>
      </c>
      <c r="AB632" s="5">
        <v>60</v>
      </c>
      <c r="AC632" s="2" t="s">
        <v>707</v>
      </c>
      <c r="AD632" s="4">
        <v>200</v>
      </c>
      <c r="AE632" s="4">
        <v>1272</v>
      </c>
      <c r="AF632" s="6">
        <v>68</v>
      </c>
      <c r="AG632" s="6"/>
      <c r="AH632" s="7">
        <v>0.0444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1</v>
      </c>
      <c r="AP632" s="4"/>
      <c r="AQ632" s="8"/>
      <c r="AR632" s="4">
        <v>439</v>
      </c>
      <c r="AS632" s="8">
        <v>6273.31</v>
      </c>
      <c r="AT632" s="7">
        <v>-1</v>
      </c>
      <c r="AU632" s="7">
        <v>-1</v>
      </c>
      <c r="AV632" s="4">
        <v>93</v>
      </c>
      <c r="AW632" s="8">
        <v>2042.3</v>
      </c>
      <c r="AX632" s="4">
        <v>968</v>
      </c>
      <c r="AY632" s="8">
        <v>14831.04</v>
      </c>
      <c r="AZ632" s="7">
        <v>-0.9039</v>
      </c>
      <c r="BA632" s="7">
        <v>-0.8623</v>
      </c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0.1479</v>
      </c>
      <c r="BJ632" s="4">
        <v>57</v>
      </c>
      <c r="BK632" s="8">
        <v>944.39</v>
      </c>
      <c r="BL632" s="2" t="s">
        <v>765</v>
      </c>
      <c r="BM632" s="7"/>
      <c r="BN632" s="7"/>
      <c r="BO632" s="4"/>
      <c r="BP632" s="8"/>
      <c r="BQ632" s="4">
        <v>439</v>
      </c>
      <c r="BR632" s="8">
        <v>6273.31</v>
      </c>
      <c r="BS632" s="7">
        <v>-1</v>
      </c>
      <c r="BT632" s="7">
        <v>-1</v>
      </c>
      <c r="BU632" s="2" t="s">
        <v>107</v>
      </c>
      <c r="BV632" s="2" t="s">
        <v>108</v>
      </c>
      <c r="BW632" s="2" t="s">
        <v>2115</v>
      </c>
      <c r="BX632" s="2" t="s">
        <v>2131</v>
      </c>
      <c r="BY632" s="2" t="s">
        <v>111</v>
      </c>
    </row>
    <row r="633">
      <c r="A633" s="2" t="s">
        <v>2132</v>
      </c>
      <c r="B633" s="2" t="s">
        <v>86</v>
      </c>
      <c r="C633" s="2" t="s">
        <v>2106</v>
      </c>
      <c r="D633" s="2" t="s">
        <v>88</v>
      </c>
      <c r="E633" s="2" t="s">
        <v>88</v>
      </c>
      <c r="F633" s="2" t="s">
        <v>2107</v>
      </c>
      <c r="G633" s="2" t="s">
        <v>2108</v>
      </c>
      <c r="H633" s="2" t="s">
        <v>2109</v>
      </c>
      <c r="I633" s="2" t="s">
        <v>2110</v>
      </c>
      <c r="J633" s="2" t="s">
        <v>113</v>
      </c>
      <c r="K633" s="2" t="s">
        <v>137</v>
      </c>
      <c r="L633" s="3">
        <v>18</v>
      </c>
      <c r="M633" s="3">
        <v>18.9</v>
      </c>
      <c r="N633" s="3">
        <v>44.99</v>
      </c>
      <c r="O633" s="2" t="s">
        <v>95</v>
      </c>
      <c r="P633" s="2" t="s">
        <v>699</v>
      </c>
      <c r="Q633" s="2" t="s">
        <v>97</v>
      </c>
      <c r="R633" s="2" t="s">
        <v>98</v>
      </c>
      <c r="S633" s="2" t="s">
        <v>2133</v>
      </c>
      <c r="T633" s="2" t="s">
        <v>98</v>
      </c>
      <c r="U633" s="2" t="s">
        <v>98</v>
      </c>
      <c r="V633" s="2" t="s">
        <v>2050</v>
      </c>
      <c r="W633" s="2" t="s">
        <v>2134</v>
      </c>
      <c r="X633" s="2" t="s">
        <v>130</v>
      </c>
      <c r="Y633" s="2" t="s">
        <v>2112</v>
      </c>
      <c r="Z633" s="4">
        <v>635</v>
      </c>
      <c r="AA633" s="4">
        <f>=ROUNDDOWN(21.1666666666667,0)</f>
      </c>
      <c r="AB633" s="5">
        <v>30</v>
      </c>
      <c r="AC633" s="2" t="s">
        <v>309</v>
      </c>
      <c r="AD633" s="4">
        <v>124</v>
      </c>
      <c r="AE633" s="4">
        <v>124</v>
      </c>
      <c r="AF633" s="6">
        <v>68</v>
      </c>
      <c r="AG633" s="6"/>
      <c r="AH633" s="7">
        <v>1</v>
      </c>
      <c r="AI633" s="4">
        <v>7</v>
      </c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64</v>
      </c>
      <c r="AQ633" s="8">
        <v>1337.6</v>
      </c>
      <c r="AR633" s="4">
        <v>398</v>
      </c>
      <c r="AS633" s="8">
        <v>6216.76</v>
      </c>
      <c r="AT633" s="7">
        <v>-0.8392</v>
      </c>
      <c r="AU633" s="7">
        <v>-0.7848</v>
      </c>
      <c r="AV633" s="4" t="s">
        <v>98</v>
      </c>
      <c r="AW633" s="8" t="s">
        <v>98</v>
      </c>
      <c r="AX633" s="4" t="s">
        <v>98</v>
      </c>
      <c r="AY633" s="8" t="s">
        <v>98</v>
      </c>
      <c r="AZ633" s="7" t="s">
        <v>98</v>
      </c>
      <c r="BA633" s="7" t="s">
        <v>98</v>
      </c>
      <c r="BB633" s="7">
        <v>0.6549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 t="s">
        <v>98</v>
      </c>
      <c r="BJ633" s="4">
        <v>382</v>
      </c>
      <c r="BK633" s="8">
        <v>7344.06</v>
      </c>
      <c r="BL633" s="2" t="s">
        <v>951</v>
      </c>
      <c r="BM633" s="7">
        <v>0.1675</v>
      </c>
      <c r="BN633" s="7">
        <v>0.1821</v>
      </c>
      <c r="BO633" s="4">
        <v>64</v>
      </c>
      <c r="BP633" s="8">
        <v>1337.6</v>
      </c>
      <c r="BQ633" s="4">
        <v>398</v>
      </c>
      <c r="BR633" s="8">
        <v>6216.76</v>
      </c>
      <c r="BS633" s="7">
        <v>-0.8392</v>
      </c>
      <c r="BT633" s="7">
        <v>-0.7848</v>
      </c>
      <c r="BU633" s="2" t="s">
        <v>107</v>
      </c>
      <c r="BV633" s="2" t="s">
        <v>108</v>
      </c>
      <c r="BW633" s="2" t="s">
        <v>2115</v>
      </c>
      <c r="BX633" s="2" t="s">
        <v>2135</v>
      </c>
      <c r="BY633" s="2" t="s">
        <v>111</v>
      </c>
    </row>
    <row r="634">
      <c r="A634" s="2" t="s">
        <v>2136</v>
      </c>
      <c r="B634" s="2" t="s">
        <v>86</v>
      </c>
      <c r="C634" s="2" t="s">
        <v>2106</v>
      </c>
      <c r="D634" s="2" t="s">
        <v>88</v>
      </c>
      <c r="E634" s="2" t="s">
        <v>88</v>
      </c>
      <c r="F634" s="2" t="s">
        <v>2107</v>
      </c>
      <c r="G634" s="2" t="s">
        <v>2108</v>
      </c>
      <c r="H634" s="2" t="s">
        <v>2109</v>
      </c>
      <c r="I634" s="2" t="s">
        <v>2110</v>
      </c>
      <c r="J634" s="2" t="s">
        <v>118</v>
      </c>
      <c r="K634" s="2" t="s">
        <v>137</v>
      </c>
      <c r="L634" s="3">
        <v>21</v>
      </c>
      <c r="M634" s="3">
        <v>22.05</v>
      </c>
      <c r="N634" s="3">
        <v>49.99</v>
      </c>
      <c r="O634" s="2" t="s">
        <v>95</v>
      </c>
      <c r="P634" s="2" t="s">
        <v>699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98</v>
      </c>
      <c r="V634" s="2" t="s">
        <v>2050</v>
      </c>
      <c r="W634" s="2" t="s">
        <v>2111</v>
      </c>
      <c r="X634" s="2" t="s">
        <v>130</v>
      </c>
      <c r="Y634" s="2" t="s">
        <v>2112</v>
      </c>
      <c r="Z634" s="4">
        <v>149</v>
      </c>
      <c r="AA634" s="4">
        <f>=ROUNDDOWN(5.96,0)</f>
      </c>
      <c r="AB634" s="5">
        <v>25</v>
      </c>
      <c r="AC634" s="2" t="s">
        <v>144</v>
      </c>
      <c r="AD634" s="4">
        <v>172</v>
      </c>
      <c r="AE634" s="4">
        <v>484</v>
      </c>
      <c r="AF634" s="6">
        <v>68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29</v>
      </c>
      <c r="AQ634" s="8">
        <v>704.7</v>
      </c>
      <c r="AR634" s="4">
        <v>131</v>
      </c>
      <c r="AS634" s="8">
        <v>2340.97</v>
      </c>
      <c r="AT634" s="7">
        <v>-0.7786</v>
      </c>
      <c r="AU634" s="7">
        <v>-0.699</v>
      </c>
      <c r="AV634" s="4" t="s">
        <v>98</v>
      </c>
      <c r="AW634" s="8" t="s">
        <v>98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>
        <v>0.3451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 t="s">
        <v>98</v>
      </c>
      <c r="BJ634" s="4">
        <v>209</v>
      </c>
      <c r="BK634" s="8">
        <v>4436.12</v>
      </c>
      <c r="BL634" s="2" t="s">
        <v>2137</v>
      </c>
      <c r="BM634" s="7">
        <v>0.1388</v>
      </c>
      <c r="BN634" s="7">
        <v>0.1589</v>
      </c>
      <c r="BO634" s="4">
        <v>29</v>
      </c>
      <c r="BP634" s="8">
        <v>704.7</v>
      </c>
      <c r="BQ634" s="4">
        <v>131</v>
      </c>
      <c r="BR634" s="8">
        <v>2340.97</v>
      </c>
      <c r="BS634" s="7">
        <v>-0.7786</v>
      </c>
      <c r="BT634" s="7">
        <v>-0.699</v>
      </c>
      <c r="BU634" s="2" t="s">
        <v>107</v>
      </c>
      <c r="BV634" s="2" t="s">
        <v>108</v>
      </c>
      <c r="BW634" s="2" t="s">
        <v>2115</v>
      </c>
      <c r="BX634" s="2" t="s">
        <v>2119</v>
      </c>
      <c r="BY634" s="2" t="s">
        <v>111</v>
      </c>
    </row>
    <row r="635">
      <c r="A635" s="2" t="s">
        <v>2138</v>
      </c>
      <c r="B635" s="2" t="s">
        <v>86</v>
      </c>
      <c r="C635" s="2" t="s">
        <v>2106</v>
      </c>
      <c r="D635" s="2" t="s">
        <v>88</v>
      </c>
      <c r="E635" s="2" t="s">
        <v>88</v>
      </c>
      <c r="F635" s="2" t="s">
        <v>2107</v>
      </c>
      <c r="G635" s="2" t="s">
        <v>2108</v>
      </c>
      <c r="H635" s="2" t="s">
        <v>2109</v>
      </c>
      <c r="I635" s="2" t="s">
        <v>2110</v>
      </c>
      <c r="J635" s="2" t="s">
        <v>93</v>
      </c>
      <c r="K635" s="2" t="s">
        <v>247</v>
      </c>
      <c r="L635" s="3">
        <v>16.8</v>
      </c>
      <c r="M635" s="3">
        <v>17.64</v>
      </c>
      <c r="N635" s="3">
        <v>39.99</v>
      </c>
      <c r="O635" s="2" t="s">
        <v>95</v>
      </c>
      <c r="P635" s="2" t="s">
        <v>150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98</v>
      </c>
      <c r="V635" s="2" t="s">
        <v>2050</v>
      </c>
      <c r="W635" s="2" t="s">
        <v>2134</v>
      </c>
      <c r="X635" s="2" t="s">
        <v>130</v>
      </c>
      <c r="Y635" s="2" t="s">
        <v>2112</v>
      </c>
      <c r="Z635" s="4">
        <v>225</v>
      </c>
      <c r="AA635" s="4">
        <f>=ROUNDDOWN(15,0)</f>
      </c>
      <c r="AB635" s="5">
        <v>15</v>
      </c>
      <c r="AC635" s="2" t="s">
        <v>309</v>
      </c>
      <c r="AD635" s="4">
        <v>52</v>
      </c>
      <c r="AE635" s="4">
        <v>52</v>
      </c>
      <c r="AF635" s="6">
        <v>68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16</v>
      </c>
      <c r="AQ635" s="8">
        <v>304.16</v>
      </c>
      <c r="AR635" s="4">
        <v>343</v>
      </c>
      <c r="AS635" s="8">
        <v>4901.47</v>
      </c>
      <c r="AT635" s="7">
        <v>-0.9534</v>
      </c>
      <c r="AU635" s="7">
        <v>-0.9379</v>
      </c>
      <c r="AV635" s="4">
        <v>68</v>
      </c>
      <c r="AW635" s="8">
        <v>1445.36</v>
      </c>
      <c r="AX635" s="4">
        <v>629</v>
      </c>
      <c r="AY635" s="8">
        <v>9503.79</v>
      </c>
      <c r="AZ635" s="7">
        <v>-0.8919</v>
      </c>
      <c r="BA635" s="7">
        <v>-0.8479</v>
      </c>
      <c r="BB635" s="7">
        <v>0.2104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0.1047</v>
      </c>
      <c r="BJ635" s="4">
        <v>216</v>
      </c>
      <c r="BK635" s="8">
        <v>3659.29</v>
      </c>
      <c r="BL635" s="2" t="s">
        <v>1001</v>
      </c>
      <c r="BM635" s="7">
        <v>0.0741</v>
      </c>
      <c r="BN635" s="7">
        <v>0.0831</v>
      </c>
      <c r="BO635" s="4">
        <v>16</v>
      </c>
      <c r="BP635" s="8">
        <v>304.16</v>
      </c>
      <c r="BQ635" s="4">
        <v>343</v>
      </c>
      <c r="BR635" s="8">
        <v>4901.47</v>
      </c>
      <c r="BS635" s="7">
        <v>-0.9534</v>
      </c>
      <c r="BT635" s="7">
        <v>-0.9379</v>
      </c>
      <c r="BU635" s="2" t="s">
        <v>107</v>
      </c>
      <c r="BV635" s="2" t="s">
        <v>108</v>
      </c>
      <c r="BW635" s="2" t="s">
        <v>2115</v>
      </c>
      <c r="BX635" s="2" t="s">
        <v>1515</v>
      </c>
      <c r="BY635" s="2" t="s">
        <v>111</v>
      </c>
    </row>
    <row r="636">
      <c r="A636" s="2" t="s">
        <v>2139</v>
      </c>
      <c r="B636" s="2" t="s">
        <v>86</v>
      </c>
      <c r="C636" s="2" t="s">
        <v>2106</v>
      </c>
      <c r="D636" s="2" t="s">
        <v>88</v>
      </c>
      <c r="E636" s="2" t="s">
        <v>88</v>
      </c>
      <c r="F636" s="2" t="s">
        <v>2107</v>
      </c>
      <c r="G636" s="2" t="s">
        <v>2108</v>
      </c>
      <c r="H636" s="2" t="s">
        <v>2109</v>
      </c>
      <c r="I636" s="2" t="s">
        <v>2110</v>
      </c>
      <c r="J636" s="2" t="s">
        <v>113</v>
      </c>
      <c r="K636" s="2" t="s">
        <v>247</v>
      </c>
      <c r="L636" s="3">
        <v>18</v>
      </c>
      <c r="M636" s="3">
        <v>18.9</v>
      </c>
      <c r="N636" s="3">
        <v>44.99</v>
      </c>
      <c r="O636" s="2" t="s">
        <v>95</v>
      </c>
      <c r="P636" s="2" t="s">
        <v>150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98</v>
      </c>
      <c r="V636" s="2" t="s">
        <v>2050</v>
      </c>
      <c r="W636" s="2" t="s">
        <v>2111</v>
      </c>
      <c r="X636" s="2" t="s">
        <v>130</v>
      </c>
      <c r="Y636" s="2" t="s">
        <v>2112</v>
      </c>
      <c r="Z636" s="4">
        <v>127</v>
      </c>
      <c r="AA636" s="4">
        <f>=ROUNDDOWN(10.5833333333333,0)</f>
      </c>
      <c r="AB636" s="5">
        <v>12</v>
      </c>
      <c r="AC636" s="2" t="s">
        <v>309</v>
      </c>
      <c r="AD636" s="4">
        <v>192</v>
      </c>
      <c r="AE636" s="4">
        <v>268</v>
      </c>
      <c r="AF636" s="6">
        <v>68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36</v>
      </c>
      <c r="AQ636" s="8">
        <v>752.4</v>
      </c>
      <c r="AR636" s="4">
        <v>226</v>
      </c>
      <c r="AS636" s="8">
        <v>3530.12</v>
      </c>
      <c r="AT636" s="7">
        <v>-0.8407</v>
      </c>
      <c r="AU636" s="7">
        <v>-0.7869</v>
      </c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>
        <v>0.5206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 t="s">
        <v>98</v>
      </c>
      <c r="BJ636" s="4">
        <v>134</v>
      </c>
      <c r="BK636" s="8">
        <v>2576.42</v>
      </c>
      <c r="BL636" s="2" t="s">
        <v>351</v>
      </c>
      <c r="BM636" s="7">
        <v>0.2687</v>
      </c>
      <c r="BN636" s="7">
        <v>0.292</v>
      </c>
      <c r="BO636" s="4">
        <v>36</v>
      </c>
      <c r="BP636" s="8">
        <v>752.4</v>
      </c>
      <c r="BQ636" s="4">
        <v>226</v>
      </c>
      <c r="BR636" s="8">
        <v>3530.12</v>
      </c>
      <c r="BS636" s="7">
        <v>-0.8407</v>
      </c>
      <c r="BT636" s="7">
        <v>-0.7869</v>
      </c>
      <c r="BU636" s="2" t="s">
        <v>107</v>
      </c>
      <c r="BV636" s="2" t="s">
        <v>108</v>
      </c>
      <c r="BW636" s="2" t="s">
        <v>2115</v>
      </c>
      <c r="BX636" s="2" t="s">
        <v>2140</v>
      </c>
      <c r="BY636" s="2" t="s">
        <v>111</v>
      </c>
    </row>
    <row r="637">
      <c r="A637" s="2" t="s">
        <v>2141</v>
      </c>
      <c r="B637" s="2" t="s">
        <v>86</v>
      </c>
      <c r="C637" s="2" t="s">
        <v>2106</v>
      </c>
      <c r="D637" s="2" t="s">
        <v>88</v>
      </c>
      <c r="E637" s="2" t="s">
        <v>88</v>
      </c>
      <c r="F637" s="2" t="s">
        <v>2107</v>
      </c>
      <c r="G637" s="2" t="s">
        <v>2108</v>
      </c>
      <c r="H637" s="2" t="s">
        <v>2109</v>
      </c>
      <c r="I637" s="2" t="s">
        <v>2110</v>
      </c>
      <c r="J637" s="2" t="s">
        <v>118</v>
      </c>
      <c r="K637" s="2" t="s">
        <v>247</v>
      </c>
      <c r="L637" s="3">
        <v>21</v>
      </c>
      <c r="M637" s="3">
        <v>22.05</v>
      </c>
      <c r="N637" s="3">
        <v>49.99</v>
      </c>
      <c r="O637" s="2" t="s">
        <v>95</v>
      </c>
      <c r="P637" s="2" t="s">
        <v>150</v>
      </c>
      <c r="Q637" s="2" t="s">
        <v>97</v>
      </c>
      <c r="R637" s="2" t="s">
        <v>98</v>
      </c>
      <c r="S637" s="2" t="s">
        <v>2142</v>
      </c>
      <c r="T637" s="2" t="s">
        <v>98</v>
      </c>
      <c r="U637" s="2" t="s">
        <v>98</v>
      </c>
      <c r="V637" s="2" t="s">
        <v>2050</v>
      </c>
      <c r="W637" s="2" t="s">
        <v>2134</v>
      </c>
      <c r="X637" s="2" t="s">
        <v>130</v>
      </c>
      <c r="Y637" s="2" t="s">
        <v>2112</v>
      </c>
      <c r="Z637" s="4">
        <v>21</v>
      </c>
      <c r="AA637" s="4">
        <f>=ROUNDDOWN(1.3125,0)</f>
      </c>
      <c r="AB637" s="5">
        <v>16</v>
      </c>
      <c r="AC637" s="2" t="s">
        <v>309</v>
      </c>
      <c r="AD637" s="4">
        <v>164</v>
      </c>
      <c r="AE637" s="4">
        <v>452</v>
      </c>
      <c r="AF637" s="6">
        <v>68</v>
      </c>
      <c r="AG637" s="6"/>
      <c r="AH637" s="7">
        <v>1</v>
      </c>
      <c r="AI637" s="4">
        <v>2</v>
      </c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16</v>
      </c>
      <c r="AQ637" s="8">
        <v>388.8</v>
      </c>
      <c r="AR637" s="4">
        <v>60</v>
      </c>
      <c r="AS637" s="8">
        <v>1072.2</v>
      </c>
      <c r="AT637" s="7">
        <v>-0.7333</v>
      </c>
      <c r="AU637" s="7">
        <v>-0.6374</v>
      </c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>
        <v>0.269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 t="s">
        <v>98</v>
      </c>
      <c r="BJ637" s="4">
        <v>100</v>
      </c>
      <c r="BK637" s="8">
        <v>2180</v>
      </c>
      <c r="BL637" s="2" t="s">
        <v>2143</v>
      </c>
      <c r="BM637" s="7">
        <v>0.16</v>
      </c>
      <c r="BN637" s="7">
        <v>0.1783</v>
      </c>
      <c r="BO637" s="4">
        <v>16</v>
      </c>
      <c r="BP637" s="8">
        <v>388.8</v>
      </c>
      <c r="BQ637" s="4">
        <v>60</v>
      </c>
      <c r="BR637" s="8">
        <v>1072.2</v>
      </c>
      <c r="BS637" s="7">
        <v>-0.7333</v>
      </c>
      <c r="BT637" s="7">
        <v>-0.6374</v>
      </c>
      <c r="BU637" s="2" t="s">
        <v>107</v>
      </c>
      <c r="BV637" s="2" t="s">
        <v>108</v>
      </c>
      <c r="BW637" s="2" t="s">
        <v>2115</v>
      </c>
      <c r="BX637" s="2" t="s">
        <v>2119</v>
      </c>
      <c r="BY637" s="2" t="s">
        <v>111</v>
      </c>
    </row>
    <row r="638">
      <c r="A638" s="2" t="s">
        <v>2144</v>
      </c>
      <c r="B638" s="2" t="s">
        <v>86</v>
      </c>
      <c r="C638" s="2" t="s">
        <v>2106</v>
      </c>
      <c r="D638" s="2" t="s">
        <v>88</v>
      </c>
      <c r="E638" s="2" t="s">
        <v>88</v>
      </c>
      <c r="F638" s="2" t="s">
        <v>2145</v>
      </c>
      <c r="G638" s="2" t="s">
        <v>2146</v>
      </c>
      <c r="H638" s="2" t="s">
        <v>2147</v>
      </c>
      <c r="I638" s="2" t="s">
        <v>2148</v>
      </c>
      <c r="J638" s="2" t="s">
        <v>348</v>
      </c>
      <c r="K638" s="2" t="s">
        <v>997</v>
      </c>
      <c r="L638" s="3">
        <v>25.65</v>
      </c>
      <c r="M638" s="3">
        <v>26.93</v>
      </c>
      <c r="N638" s="3">
        <v>56.99</v>
      </c>
      <c r="O638" s="2" t="s">
        <v>95</v>
      </c>
      <c r="P638" s="2" t="s">
        <v>150</v>
      </c>
      <c r="Q638" s="2" t="s">
        <v>97</v>
      </c>
      <c r="R638" s="2" t="s">
        <v>98</v>
      </c>
      <c r="S638" s="2" t="s">
        <v>2149</v>
      </c>
      <c r="T638" s="2" t="s">
        <v>98</v>
      </c>
      <c r="U638" s="2" t="s">
        <v>100</v>
      </c>
      <c r="V638" s="2" t="s">
        <v>334</v>
      </c>
      <c r="W638" s="2" t="s">
        <v>335</v>
      </c>
      <c r="X638" s="2" t="s">
        <v>2150</v>
      </c>
      <c r="Y638" s="2" t="s">
        <v>2151</v>
      </c>
      <c r="Z638" s="4">
        <v>141</v>
      </c>
      <c r="AA638" s="4">
        <f>=ROUNDDOWN(8.8125,0)</f>
      </c>
      <c r="AB638" s="5">
        <v>16</v>
      </c>
      <c r="AC638" s="2" t="s">
        <v>278</v>
      </c>
      <c r="AD638" s="4">
        <v>284</v>
      </c>
      <c r="AE638" s="4">
        <v>484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33</v>
      </c>
      <c r="AQ638" s="8">
        <v>940.5</v>
      </c>
      <c r="AR638" s="4"/>
      <c r="AS638" s="8"/>
      <c r="AT638" s="7"/>
      <c r="AU638" s="7"/>
      <c r="AV638" s="4">
        <v>265</v>
      </c>
      <c r="AW638" s="8">
        <v>5001.5</v>
      </c>
      <c r="AX638" s="4">
        <v>41</v>
      </c>
      <c r="AY638" s="8">
        <v>501.46</v>
      </c>
      <c r="AZ638" s="7">
        <v>5.4634</v>
      </c>
      <c r="BA638" s="7">
        <v>8.9739</v>
      </c>
      <c r="BB638" s="7">
        <v>0.188</v>
      </c>
      <c r="BC638" s="4">
        <v>660</v>
      </c>
      <c r="BD638" s="8">
        <v>12390.46</v>
      </c>
      <c r="BE638" s="4">
        <v>156</v>
      </c>
      <c r="BF638" s="8">
        <v>2117.67</v>
      </c>
      <c r="BG638" s="7">
        <v>3.2308</v>
      </c>
      <c r="BH638" s="7">
        <v>4.851</v>
      </c>
      <c r="BI638" s="7">
        <v>0.4037</v>
      </c>
      <c r="BJ638" s="4">
        <v>206</v>
      </c>
      <c r="BK638" s="8">
        <v>5845.72</v>
      </c>
      <c r="BL638" s="2" t="s">
        <v>189</v>
      </c>
      <c r="BM638" s="7">
        <v>0.1602</v>
      </c>
      <c r="BN638" s="7">
        <v>0.1609</v>
      </c>
      <c r="BO638" s="4">
        <v>33</v>
      </c>
      <c r="BP638" s="8">
        <v>940.5</v>
      </c>
      <c r="BQ638" s="4"/>
      <c r="BR638" s="8"/>
      <c r="BS638" s="7"/>
      <c r="BT638" s="7"/>
      <c r="BU638" s="2" t="s">
        <v>107</v>
      </c>
      <c r="BV638" s="2" t="s">
        <v>108</v>
      </c>
      <c r="BW638" s="2" t="s">
        <v>2083</v>
      </c>
      <c r="BX638" s="2" t="s">
        <v>2152</v>
      </c>
      <c r="BY638" s="2" t="s">
        <v>111</v>
      </c>
    </row>
    <row r="639">
      <c r="A639" s="2" t="s">
        <v>2153</v>
      </c>
      <c r="B639" s="2" t="s">
        <v>86</v>
      </c>
      <c r="C639" s="2" t="s">
        <v>2106</v>
      </c>
      <c r="D639" s="2" t="s">
        <v>88</v>
      </c>
      <c r="E639" s="2" t="s">
        <v>88</v>
      </c>
      <c r="F639" s="2" t="s">
        <v>2145</v>
      </c>
      <c r="G639" s="2" t="s">
        <v>2146</v>
      </c>
      <c r="H639" s="2" t="s">
        <v>2147</v>
      </c>
      <c r="I639" s="2" t="s">
        <v>2154</v>
      </c>
      <c r="J639" s="2" t="s">
        <v>331</v>
      </c>
      <c r="K639" s="2" t="s">
        <v>997</v>
      </c>
      <c r="L639" s="3">
        <v>13.44</v>
      </c>
      <c r="M639" s="3">
        <v>14.11</v>
      </c>
      <c r="N639" s="3">
        <v>31.99</v>
      </c>
      <c r="O639" s="2" t="s">
        <v>241</v>
      </c>
      <c r="P639" s="2" t="s">
        <v>215</v>
      </c>
      <c r="Q639" s="2" t="s">
        <v>97</v>
      </c>
      <c r="R639" s="2" t="s">
        <v>98</v>
      </c>
      <c r="S639" s="2" t="s">
        <v>2149</v>
      </c>
      <c r="T639" s="2" t="s">
        <v>98</v>
      </c>
      <c r="U639" s="2" t="s">
        <v>98</v>
      </c>
      <c r="V639" s="2" t="s">
        <v>334</v>
      </c>
      <c r="W639" s="2" t="s">
        <v>335</v>
      </c>
      <c r="X639" s="2" t="s">
        <v>98</v>
      </c>
      <c r="Y639" s="2" t="s">
        <v>2155</v>
      </c>
      <c r="Z639" s="4"/>
      <c r="AA639" s="4">
        <f>=ROUNDDOWN({0},0)</f>
      </c>
      <c r="AB639" s="5">
        <v>1.5</v>
      </c>
      <c r="AC639" s="2" t="s">
        <v>98</v>
      </c>
      <c r="AD639" s="4"/>
      <c r="AE639" s="4"/>
      <c r="AF639" s="6">
        <v>65</v>
      </c>
      <c r="AG639" s="6"/>
      <c r="AH639" s="7">
        <v>0.3667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>
        <v>31</v>
      </c>
      <c r="AS639" s="8">
        <v>361.46</v>
      </c>
      <c r="AT639" s="7">
        <v>-1</v>
      </c>
      <c r="AU639" s="7">
        <v>-1</v>
      </c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 t="s">
        <v>98</v>
      </c>
      <c r="BJ639" s="4"/>
      <c r="BK639" s="8"/>
      <c r="BL639" s="2" t="s">
        <v>1287</v>
      </c>
      <c r="BM639" s="7"/>
      <c r="BN639" s="7"/>
      <c r="BO639" s="4"/>
      <c r="BP639" s="8"/>
      <c r="BQ639" s="4">
        <v>31</v>
      </c>
      <c r="BR639" s="8">
        <v>361.46</v>
      </c>
      <c r="BS639" s="7">
        <v>-1</v>
      </c>
      <c r="BT639" s="7">
        <v>-1</v>
      </c>
      <c r="BU639" s="2" t="s">
        <v>211</v>
      </c>
      <c r="BV639" s="2" t="s">
        <v>352</v>
      </c>
      <c r="BW639" s="2" t="s">
        <v>2115</v>
      </c>
      <c r="BX639" s="2" t="s">
        <v>2135</v>
      </c>
      <c r="BY639" s="2" t="s">
        <v>354</v>
      </c>
    </row>
    <row r="640">
      <c r="A640" s="2" t="s">
        <v>2156</v>
      </c>
      <c r="B640" s="2" t="s">
        <v>86</v>
      </c>
      <c r="C640" s="2" t="s">
        <v>2106</v>
      </c>
      <c r="D640" s="2" t="s">
        <v>88</v>
      </c>
      <c r="E640" s="2" t="s">
        <v>88</v>
      </c>
      <c r="F640" s="2" t="s">
        <v>2145</v>
      </c>
      <c r="G640" s="2" t="s">
        <v>2146</v>
      </c>
      <c r="H640" s="2" t="s">
        <v>2147</v>
      </c>
      <c r="I640" s="2" t="s">
        <v>2157</v>
      </c>
      <c r="J640" s="2" t="s">
        <v>93</v>
      </c>
      <c r="K640" s="2" t="s">
        <v>997</v>
      </c>
      <c r="L640" s="3">
        <v>16.65</v>
      </c>
      <c r="M640" s="3">
        <v>17.48</v>
      </c>
      <c r="N640" s="3">
        <v>36.99</v>
      </c>
      <c r="O640" s="2" t="s">
        <v>95</v>
      </c>
      <c r="P640" s="2" t="s">
        <v>150</v>
      </c>
      <c r="Q640" s="2" t="s">
        <v>97</v>
      </c>
      <c r="R640" s="2" t="s">
        <v>98</v>
      </c>
      <c r="S640" s="2" t="s">
        <v>2149</v>
      </c>
      <c r="T640" s="2" t="s">
        <v>98</v>
      </c>
      <c r="U640" s="2" t="s">
        <v>98</v>
      </c>
      <c r="V640" s="2" t="s">
        <v>334</v>
      </c>
      <c r="W640" s="2" t="s">
        <v>335</v>
      </c>
      <c r="X640" s="2" t="s">
        <v>2150</v>
      </c>
      <c r="Y640" s="2" t="s">
        <v>2155</v>
      </c>
      <c r="Z640" s="4">
        <v>529</v>
      </c>
      <c r="AA640" s="4">
        <f>=ROUNDDOWN(35.2666666666667,0)</f>
      </c>
      <c r="AB640" s="5">
        <v>15</v>
      </c>
      <c r="AC640" s="2" t="s">
        <v>278</v>
      </c>
      <c r="AD640" s="4">
        <v>112</v>
      </c>
      <c r="AE640" s="4">
        <v>112</v>
      </c>
      <c r="AF640" s="6">
        <v>65</v>
      </c>
      <c r="AG640" s="6"/>
      <c r="AH640" s="7">
        <v>0.8111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220</v>
      </c>
      <c r="AQ640" s="8">
        <v>3825.8</v>
      </c>
      <c r="AR640" s="4">
        <v>10</v>
      </c>
      <c r="AS640" s="8">
        <v>140</v>
      </c>
      <c r="AT640" s="7">
        <v>21</v>
      </c>
      <c r="AU640" s="7">
        <v>26.3271</v>
      </c>
      <c r="AV640" s="4" t="s">
        <v>98</v>
      </c>
      <c r="AW640" s="8" t="s">
        <v>98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>
        <v>0.7649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 t="s">
        <v>98</v>
      </c>
      <c r="BJ640" s="4">
        <v>381</v>
      </c>
      <c r="BK640" s="8">
        <v>6463.54</v>
      </c>
      <c r="BL640" s="2" t="s">
        <v>2158</v>
      </c>
      <c r="BM640" s="7">
        <v>0.5774</v>
      </c>
      <c r="BN640" s="7">
        <v>0.5919</v>
      </c>
      <c r="BO640" s="4">
        <v>220</v>
      </c>
      <c r="BP640" s="8">
        <v>3825.8</v>
      </c>
      <c r="BQ640" s="4">
        <v>10</v>
      </c>
      <c r="BR640" s="8">
        <v>140</v>
      </c>
      <c r="BS640" s="7">
        <v>21</v>
      </c>
      <c r="BT640" s="7">
        <v>26.3271</v>
      </c>
      <c r="BU640" s="2" t="s">
        <v>107</v>
      </c>
      <c r="BV640" s="2" t="s">
        <v>108</v>
      </c>
      <c r="BW640" s="2" t="s">
        <v>2115</v>
      </c>
      <c r="BX640" s="2" t="s">
        <v>2159</v>
      </c>
      <c r="BY640" s="2" t="s">
        <v>111</v>
      </c>
    </row>
    <row r="641">
      <c r="A641" s="2" t="s">
        <v>2160</v>
      </c>
      <c r="B641" s="2" t="s">
        <v>86</v>
      </c>
      <c r="C641" s="2" t="s">
        <v>2106</v>
      </c>
      <c r="D641" s="2" t="s">
        <v>88</v>
      </c>
      <c r="E641" s="2" t="s">
        <v>88</v>
      </c>
      <c r="F641" s="2" t="s">
        <v>2145</v>
      </c>
      <c r="G641" s="2" t="s">
        <v>2146</v>
      </c>
      <c r="H641" s="2" t="s">
        <v>2147</v>
      </c>
      <c r="I641" s="2" t="s">
        <v>2157</v>
      </c>
      <c r="J641" s="2" t="s">
        <v>113</v>
      </c>
      <c r="K641" s="2" t="s">
        <v>997</v>
      </c>
      <c r="L641" s="3">
        <v>18</v>
      </c>
      <c r="M641" s="3">
        <v>18.9</v>
      </c>
      <c r="N641" s="3">
        <v>39.99</v>
      </c>
      <c r="O641" s="2" t="s">
        <v>95</v>
      </c>
      <c r="P641" s="2" t="s">
        <v>150</v>
      </c>
      <c r="Q641" s="2" t="s">
        <v>97</v>
      </c>
      <c r="R641" s="2" t="s">
        <v>98</v>
      </c>
      <c r="S641" s="2" t="s">
        <v>2149</v>
      </c>
      <c r="T641" s="2" t="s">
        <v>98</v>
      </c>
      <c r="U641" s="2" t="s">
        <v>98</v>
      </c>
      <c r="V641" s="2" t="s">
        <v>334</v>
      </c>
      <c r="W641" s="2" t="s">
        <v>335</v>
      </c>
      <c r="X641" s="2" t="s">
        <v>2150</v>
      </c>
      <c r="Y641" s="2" t="s">
        <v>2155</v>
      </c>
      <c r="Z641" s="4">
        <v>143</v>
      </c>
      <c r="AA641" s="4">
        <f>=ROUNDDOWN(13,0)</f>
      </c>
      <c r="AB641" s="5">
        <v>11</v>
      </c>
      <c r="AC641" s="2" t="s">
        <v>278</v>
      </c>
      <c r="AD641" s="4">
        <v>136</v>
      </c>
      <c r="AE641" s="4">
        <v>280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12</v>
      </c>
      <c r="AQ641" s="8">
        <v>235.2</v>
      </c>
      <c r="AR641" s="4"/>
      <c r="AS641" s="8"/>
      <c r="AT641" s="7"/>
      <c r="AU641" s="7"/>
      <c r="AV641" s="4" t="s">
        <v>98</v>
      </c>
      <c r="AW641" s="8" t="s">
        <v>98</v>
      </c>
      <c r="AX641" s="4" t="s">
        <v>98</v>
      </c>
      <c r="AY641" s="8" t="s">
        <v>98</v>
      </c>
      <c r="AZ641" s="7" t="s">
        <v>98</v>
      </c>
      <c r="BA641" s="7" t="s">
        <v>98</v>
      </c>
      <c r="BB641" s="7">
        <v>0.047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 t="s">
        <v>98</v>
      </c>
      <c r="BJ641" s="4">
        <v>94</v>
      </c>
      <c r="BK641" s="8">
        <v>1758.14</v>
      </c>
      <c r="BL641" s="2" t="s">
        <v>2161</v>
      </c>
      <c r="BM641" s="7">
        <v>0.1277</v>
      </c>
      <c r="BN641" s="7">
        <v>0.1338</v>
      </c>
      <c r="BO641" s="4">
        <v>12</v>
      </c>
      <c r="BP641" s="8">
        <v>235.2</v>
      </c>
      <c r="BQ641" s="4"/>
      <c r="BR641" s="8"/>
      <c r="BS641" s="7"/>
      <c r="BT641" s="7"/>
      <c r="BU641" s="2" t="s">
        <v>107</v>
      </c>
      <c r="BV641" s="2" t="s">
        <v>108</v>
      </c>
      <c r="BW641" s="2" t="s">
        <v>2115</v>
      </c>
      <c r="BX641" s="2" t="s">
        <v>2162</v>
      </c>
      <c r="BY641" s="2" t="s">
        <v>111</v>
      </c>
    </row>
    <row r="642">
      <c r="A642" s="2" t="s">
        <v>2163</v>
      </c>
      <c r="B642" s="2" t="s">
        <v>86</v>
      </c>
      <c r="C642" s="2" t="s">
        <v>2106</v>
      </c>
      <c r="D642" s="2" t="s">
        <v>88</v>
      </c>
      <c r="E642" s="2" t="s">
        <v>88</v>
      </c>
      <c r="F642" s="2" t="s">
        <v>2145</v>
      </c>
      <c r="G642" s="2" t="s">
        <v>2146</v>
      </c>
      <c r="H642" s="2" t="s">
        <v>2147</v>
      </c>
      <c r="I642" s="2" t="s">
        <v>2148</v>
      </c>
      <c r="J642" s="2" t="s">
        <v>348</v>
      </c>
      <c r="K642" s="2" t="s">
        <v>458</v>
      </c>
      <c r="L642" s="3">
        <v>25.65</v>
      </c>
      <c r="M642" s="3">
        <v>26.93</v>
      </c>
      <c r="N642" s="3">
        <v>56.99</v>
      </c>
      <c r="O642" s="2" t="s">
        <v>95</v>
      </c>
      <c r="P642" s="2" t="s">
        <v>129</v>
      </c>
      <c r="Q642" s="2" t="s">
        <v>97</v>
      </c>
      <c r="R642" s="2" t="s">
        <v>98</v>
      </c>
      <c r="S642" s="2" t="s">
        <v>2149</v>
      </c>
      <c r="T642" s="2" t="s">
        <v>98</v>
      </c>
      <c r="U642" s="2" t="s">
        <v>100</v>
      </c>
      <c r="V642" s="2" t="s">
        <v>334</v>
      </c>
      <c r="W642" s="2" t="s">
        <v>335</v>
      </c>
      <c r="X642" s="2" t="s">
        <v>2150</v>
      </c>
      <c r="Y642" s="2" t="s">
        <v>2151</v>
      </c>
      <c r="Z642" s="4">
        <v>110</v>
      </c>
      <c r="AA642" s="4">
        <f>=ROUNDDOWN(4.58333333333333,0)</f>
      </c>
      <c r="AB642" s="5">
        <v>24</v>
      </c>
      <c r="AC642" s="2" t="s">
        <v>278</v>
      </c>
      <c r="AD642" s="4">
        <v>220</v>
      </c>
      <c r="AE642" s="4">
        <v>672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24</v>
      </c>
      <c r="AQ642" s="8">
        <v>684</v>
      </c>
      <c r="AR642" s="4">
        <v>5</v>
      </c>
      <c r="AS642" s="8">
        <v>119.95</v>
      </c>
      <c r="AT642" s="7">
        <v>3.8</v>
      </c>
      <c r="AU642" s="7">
        <v>4.7024</v>
      </c>
      <c r="AV642" s="4">
        <v>219</v>
      </c>
      <c r="AW642" s="8">
        <v>4097.15</v>
      </c>
      <c r="AX642" s="4">
        <v>71</v>
      </c>
      <c r="AY642" s="8">
        <v>986.53</v>
      </c>
      <c r="AZ642" s="7">
        <v>2.0845</v>
      </c>
      <c r="BA642" s="7">
        <v>3.1531</v>
      </c>
      <c r="BB642" s="7">
        <v>0.1669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>
        <v>0.3307</v>
      </c>
      <c r="BJ642" s="4">
        <v>347</v>
      </c>
      <c r="BK642" s="8">
        <v>9790.65</v>
      </c>
      <c r="BL642" s="2" t="s">
        <v>2164</v>
      </c>
      <c r="BM642" s="7">
        <v>0.0692</v>
      </c>
      <c r="BN642" s="7">
        <v>0.0699</v>
      </c>
      <c r="BO642" s="4">
        <v>24</v>
      </c>
      <c r="BP642" s="8">
        <v>684</v>
      </c>
      <c r="BQ642" s="4">
        <v>5</v>
      </c>
      <c r="BR642" s="8">
        <v>119.95</v>
      </c>
      <c r="BS642" s="7">
        <v>3.8</v>
      </c>
      <c r="BT642" s="7">
        <v>4.7024</v>
      </c>
      <c r="BU642" s="2" t="s">
        <v>107</v>
      </c>
      <c r="BV642" s="2" t="s">
        <v>108</v>
      </c>
      <c r="BW642" s="2" t="s">
        <v>2083</v>
      </c>
      <c r="BX642" s="2" t="s">
        <v>2165</v>
      </c>
      <c r="BY642" s="2" t="s">
        <v>111</v>
      </c>
    </row>
    <row r="643">
      <c r="A643" s="2" t="s">
        <v>2166</v>
      </c>
      <c r="B643" s="2" t="s">
        <v>86</v>
      </c>
      <c r="C643" s="2" t="s">
        <v>2106</v>
      </c>
      <c r="D643" s="2" t="s">
        <v>88</v>
      </c>
      <c r="E643" s="2" t="s">
        <v>88</v>
      </c>
      <c r="F643" s="2" t="s">
        <v>2145</v>
      </c>
      <c r="G643" s="2" t="s">
        <v>2146</v>
      </c>
      <c r="H643" s="2" t="s">
        <v>2147</v>
      </c>
      <c r="I643" s="2" t="s">
        <v>2154</v>
      </c>
      <c r="J643" s="2" t="s">
        <v>331</v>
      </c>
      <c r="K643" s="2" t="s">
        <v>458</v>
      </c>
      <c r="L643" s="3">
        <v>13.44</v>
      </c>
      <c r="M643" s="3">
        <v>14.11</v>
      </c>
      <c r="N643" s="3">
        <v>31.99</v>
      </c>
      <c r="O643" s="2" t="s">
        <v>368</v>
      </c>
      <c r="P643" s="2" t="s">
        <v>215</v>
      </c>
      <c r="Q643" s="2" t="s">
        <v>97</v>
      </c>
      <c r="R643" s="2" t="s">
        <v>98</v>
      </c>
      <c r="S643" s="2" t="s">
        <v>2167</v>
      </c>
      <c r="T643" s="2" t="s">
        <v>98</v>
      </c>
      <c r="U643" s="2" t="s">
        <v>98</v>
      </c>
      <c r="V643" s="2" t="s">
        <v>334</v>
      </c>
      <c r="W643" s="2" t="s">
        <v>335</v>
      </c>
      <c r="X643" s="2" t="s">
        <v>98</v>
      </c>
      <c r="Y643" s="2" t="s">
        <v>2155</v>
      </c>
      <c r="Z643" s="4">
        <v>5</v>
      </c>
      <c r="AA643" s="4">
        <f>=ROUNDDOWN(25,0)</f>
      </c>
      <c r="AB643" s="5">
        <v>0.2</v>
      </c>
      <c r="AC643" s="2" t="s">
        <v>98</v>
      </c>
      <c r="AD643" s="4"/>
      <c r="AE643" s="4"/>
      <c r="AF643" s="6">
        <v>65</v>
      </c>
      <c r="AG643" s="6"/>
      <c r="AH643" s="7">
        <v>0.3667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>
        <v>37</v>
      </c>
      <c r="AS643" s="8">
        <v>431.42</v>
      </c>
      <c r="AT643" s="7">
        <v>-1</v>
      </c>
      <c r="AU643" s="7">
        <v>-1</v>
      </c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 t="s">
        <v>98</v>
      </c>
      <c r="BJ643" s="4"/>
      <c r="BK643" s="8"/>
      <c r="BL643" s="2" t="s">
        <v>1708</v>
      </c>
      <c r="BM643" s="7"/>
      <c r="BN643" s="7"/>
      <c r="BO643" s="4"/>
      <c r="BP643" s="8"/>
      <c r="BQ643" s="4">
        <v>37</v>
      </c>
      <c r="BR643" s="8">
        <v>431.42</v>
      </c>
      <c r="BS643" s="7">
        <v>-1</v>
      </c>
      <c r="BT643" s="7">
        <v>-1</v>
      </c>
      <c r="BU643" s="2" t="s">
        <v>211</v>
      </c>
      <c r="BV643" s="2" t="s">
        <v>352</v>
      </c>
      <c r="BW643" s="2" t="s">
        <v>2115</v>
      </c>
      <c r="BX643" s="2" t="s">
        <v>2168</v>
      </c>
      <c r="BY643" s="2" t="s">
        <v>354</v>
      </c>
    </row>
    <row r="644">
      <c r="A644" s="2" t="s">
        <v>2169</v>
      </c>
      <c r="B644" s="2" t="s">
        <v>86</v>
      </c>
      <c r="C644" s="2" t="s">
        <v>2106</v>
      </c>
      <c r="D644" s="2" t="s">
        <v>88</v>
      </c>
      <c r="E644" s="2" t="s">
        <v>88</v>
      </c>
      <c r="F644" s="2" t="s">
        <v>2145</v>
      </c>
      <c r="G644" s="2" t="s">
        <v>2146</v>
      </c>
      <c r="H644" s="2" t="s">
        <v>2147</v>
      </c>
      <c r="I644" s="2" t="s">
        <v>2157</v>
      </c>
      <c r="J644" s="2" t="s">
        <v>93</v>
      </c>
      <c r="K644" s="2" t="s">
        <v>458</v>
      </c>
      <c r="L644" s="3">
        <v>16.65</v>
      </c>
      <c r="M644" s="3">
        <v>17.48</v>
      </c>
      <c r="N644" s="3">
        <v>36.99</v>
      </c>
      <c r="O644" s="2" t="s">
        <v>95</v>
      </c>
      <c r="P644" s="2" t="s">
        <v>129</v>
      </c>
      <c r="Q644" s="2" t="s">
        <v>97</v>
      </c>
      <c r="R644" s="2" t="s">
        <v>98</v>
      </c>
      <c r="S644" s="2" t="s">
        <v>2167</v>
      </c>
      <c r="T644" s="2" t="s">
        <v>98</v>
      </c>
      <c r="U644" s="2" t="s">
        <v>98</v>
      </c>
      <c r="V644" s="2" t="s">
        <v>334</v>
      </c>
      <c r="W644" s="2" t="s">
        <v>335</v>
      </c>
      <c r="X644" s="2" t="s">
        <v>2150</v>
      </c>
      <c r="Y644" s="2" t="s">
        <v>2155</v>
      </c>
      <c r="Z644" s="4">
        <v>353</v>
      </c>
      <c r="AA644" s="4">
        <f>=ROUNDDOWN(10.0857142857143,0)</f>
      </c>
      <c r="AB644" s="5">
        <v>35</v>
      </c>
      <c r="AC644" s="2" t="s">
        <v>278</v>
      </c>
      <c r="AD644" s="4">
        <v>308</v>
      </c>
      <c r="AE644" s="4">
        <v>692</v>
      </c>
      <c r="AF644" s="6">
        <v>65</v>
      </c>
      <c r="AG644" s="6"/>
      <c r="AH644" s="7">
        <v>1</v>
      </c>
      <c r="AI644" s="4"/>
      <c r="AJ644" s="4">
        <f>=ROUNDDOWN({0},0)</f>
      </c>
      <c r="AK644" s="5">
        <v>0.2</v>
      </c>
      <c r="AL644" s="2" t="s">
        <v>98</v>
      </c>
      <c r="AM644" s="4"/>
      <c r="AN644" s="4"/>
      <c r="AO644" s="7">
        <v>0.5111</v>
      </c>
      <c r="AP644" s="4">
        <v>185</v>
      </c>
      <c r="AQ644" s="8">
        <v>3217.15</v>
      </c>
      <c r="AR644" s="4">
        <v>11</v>
      </c>
      <c r="AS644" s="8">
        <v>154</v>
      </c>
      <c r="AT644" s="7">
        <v>15.8182</v>
      </c>
      <c r="AU644" s="7">
        <v>19.8906</v>
      </c>
      <c r="AV644" s="4" t="s">
        <v>98</v>
      </c>
      <c r="AW644" s="8" t="s">
        <v>98</v>
      </c>
      <c r="AX644" s="4" t="s">
        <v>98</v>
      </c>
      <c r="AY644" s="8" t="s">
        <v>98</v>
      </c>
      <c r="AZ644" s="7" t="s">
        <v>98</v>
      </c>
      <c r="BA644" s="7" t="s">
        <v>98</v>
      </c>
      <c r="BB644" s="7">
        <v>0.7852</v>
      </c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 t="s">
        <v>98</v>
      </c>
      <c r="BJ644" s="4">
        <v>519</v>
      </c>
      <c r="BK644" s="8">
        <v>8849.1</v>
      </c>
      <c r="BL644" s="2" t="s">
        <v>2170</v>
      </c>
      <c r="BM644" s="7">
        <v>0.3565</v>
      </c>
      <c r="BN644" s="7">
        <v>0.3636</v>
      </c>
      <c r="BO644" s="4">
        <v>185</v>
      </c>
      <c r="BP644" s="8">
        <v>3217.15</v>
      </c>
      <c r="BQ644" s="4">
        <v>11</v>
      </c>
      <c r="BR644" s="8">
        <v>154</v>
      </c>
      <c r="BS644" s="7">
        <v>15.8182</v>
      </c>
      <c r="BT644" s="7">
        <v>19.8906</v>
      </c>
      <c r="BU644" s="2" t="s">
        <v>107</v>
      </c>
      <c r="BV644" s="2" t="s">
        <v>108</v>
      </c>
      <c r="BW644" s="2" t="s">
        <v>2115</v>
      </c>
      <c r="BX644" s="2" t="s">
        <v>1515</v>
      </c>
      <c r="BY644" s="2" t="s">
        <v>111</v>
      </c>
    </row>
    <row r="645">
      <c r="A645" s="2" t="s">
        <v>2171</v>
      </c>
      <c r="B645" s="2" t="s">
        <v>86</v>
      </c>
      <c r="C645" s="2" t="s">
        <v>2106</v>
      </c>
      <c r="D645" s="2" t="s">
        <v>88</v>
      </c>
      <c r="E645" s="2" t="s">
        <v>88</v>
      </c>
      <c r="F645" s="2" t="s">
        <v>2145</v>
      </c>
      <c r="G645" s="2" t="s">
        <v>2146</v>
      </c>
      <c r="H645" s="2" t="s">
        <v>2147</v>
      </c>
      <c r="I645" s="2" t="s">
        <v>2157</v>
      </c>
      <c r="J645" s="2" t="s">
        <v>113</v>
      </c>
      <c r="K645" s="2" t="s">
        <v>458</v>
      </c>
      <c r="L645" s="3">
        <v>18</v>
      </c>
      <c r="M645" s="3">
        <v>18.9</v>
      </c>
      <c r="N645" s="3">
        <v>39.99</v>
      </c>
      <c r="O645" s="2" t="s">
        <v>95</v>
      </c>
      <c r="P645" s="2" t="s">
        <v>129</v>
      </c>
      <c r="Q645" s="2" t="s">
        <v>97</v>
      </c>
      <c r="R645" s="2" t="s">
        <v>98</v>
      </c>
      <c r="S645" s="2" t="s">
        <v>2167</v>
      </c>
      <c r="T645" s="2" t="s">
        <v>98</v>
      </c>
      <c r="U645" s="2" t="s">
        <v>98</v>
      </c>
      <c r="V645" s="2" t="s">
        <v>334</v>
      </c>
      <c r="W645" s="2" t="s">
        <v>335</v>
      </c>
      <c r="X645" s="2" t="s">
        <v>2150</v>
      </c>
      <c r="Y645" s="2" t="s">
        <v>2155</v>
      </c>
      <c r="Z645" s="4">
        <v>381</v>
      </c>
      <c r="AA645" s="4">
        <f>=ROUNDDOWN(47.625,0)</f>
      </c>
      <c r="AB645" s="5">
        <v>8</v>
      </c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1</v>
      </c>
      <c r="AP645" s="4">
        <v>10</v>
      </c>
      <c r="AQ645" s="8">
        <v>196</v>
      </c>
      <c r="AR645" s="4">
        <v>18</v>
      </c>
      <c r="AS645" s="8">
        <v>281.16</v>
      </c>
      <c r="AT645" s="7">
        <v>-0.4444</v>
      </c>
      <c r="AU645" s="7">
        <v>-0.3029</v>
      </c>
      <c r="AV645" s="4" t="s">
        <v>98</v>
      </c>
      <c r="AW645" s="8" t="s">
        <v>98</v>
      </c>
      <c r="AX645" s="4" t="s">
        <v>98</v>
      </c>
      <c r="AY645" s="8" t="s">
        <v>98</v>
      </c>
      <c r="AZ645" s="7" t="s">
        <v>98</v>
      </c>
      <c r="BA645" s="7" t="s">
        <v>98</v>
      </c>
      <c r="BB645" s="7">
        <v>0.0478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 t="s">
        <v>98</v>
      </c>
      <c r="BJ645" s="4">
        <v>143</v>
      </c>
      <c r="BK645" s="8">
        <v>2586.42</v>
      </c>
      <c r="BL645" s="2" t="s">
        <v>1296</v>
      </c>
      <c r="BM645" s="7">
        <v>0.0699</v>
      </c>
      <c r="BN645" s="7">
        <v>0.0758</v>
      </c>
      <c r="BO645" s="4">
        <v>10</v>
      </c>
      <c r="BP645" s="8">
        <v>196</v>
      </c>
      <c r="BQ645" s="4">
        <v>18</v>
      </c>
      <c r="BR645" s="8">
        <v>281.16</v>
      </c>
      <c r="BS645" s="7">
        <v>-0.4444</v>
      </c>
      <c r="BT645" s="7">
        <v>-0.3029</v>
      </c>
      <c r="BU645" s="2" t="s">
        <v>107</v>
      </c>
      <c r="BV645" s="2" t="s">
        <v>108</v>
      </c>
      <c r="BW645" s="2" t="s">
        <v>2115</v>
      </c>
      <c r="BX645" s="2" t="s">
        <v>2172</v>
      </c>
      <c r="BY645" s="2" t="s">
        <v>111</v>
      </c>
    </row>
    <row r="646">
      <c r="A646" s="2" t="s">
        <v>2173</v>
      </c>
      <c r="B646" s="2" t="s">
        <v>86</v>
      </c>
      <c r="C646" s="2" t="s">
        <v>2106</v>
      </c>
      <c r="D646" s="2" t="s">
        <v>88</v>
      </c>
      <c r="E646" s="2" t="s">
        <v>88</v>
      </c>
      <c r="F646" s="2" t="s">
        <v>2145</v>
      </c>
      <c r="G646" s="2" t="s">
        <v>2146</v>
      </c>
      <c r="H646" s="2" t="s">
        <v>2147</v>
      </c>
      <c r="I646" s="2" t="s">
        <v>2148</v>
      </c>
      <c r="J646" s="2" t="s">
        <v>348</v>
      </c>
      <c r="K646" s="2" t="s">
        <v>551</v>
      </c>
      <c r="L646" s="3">
        <v>25.65</v>
      </c>
      <c r="M646" s="3">
        <v>26.93</v>
      </c>
      <c r="N646" s="3">
        <v>56.99</v>
      </c>
      <c r="O646" s="2" t="s">
        <v>95</v>
      </c>
      <c r="P646" s="2" t="s">
        <v>150</v>
      </c>
      <c r="Q646" s="2" t="s">
        <v>97</v>
      </c>
      <c r="R646" s="2" t="s">
        <v>98</v>
      </c>
      <c r="S646" s="2" t="s">
        <v>2149</v>
      </c>
      <c r="T646" s="2" t="s">
        <v>98</v>
      </c>
      <c r="U646" s="2" t="s">
        <v>100</v>
      </c>
      <c r="V646" s="2" t="s">
        <v>334</v>
      </c>
      <c r="W646" s="2" t="s">
        <v>335</v>
      </c>
      <c r="X646" s="2" t="s">
        <v>2150</v>
      </c>
      <c r="Y646" s="2" t="s">
        <v>2151</v>
      </c>
      <c r="Z646" s="4">
        <v>58</v>
      </c>
      <c r="AA646" s="4">
        <f>=ROUNDDOWN(3.86666666666667,0)</f>
      </c>
      <c r="AB646" s="5">
        <v>15</v>
      </c>
      <c r="AC646" s="2" t="s">
        <v>278</v>
      </c>
      <c r="AD646" s="4">
        <v>160</v>
      </c>
      <c r="AE646" s="4">
        <v>388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12</v>
      </c>
      <c r="AQ646" s="8">
        <v>342</v>
      </c>
      <c r="AR646" s="4">
        <v>6</v>
      </c>
      <c r="AS646" s="8">
        <v>143.94</v>
      </c>
      <c r="AT646" s="7">
        <v>1</v>
      </c>
      <c r="AU646" s="7">
        <v>1.376</v>
      </c>
      <c r="AV646" s="4">
        <v>162</v>
      </c>
      <c r="AW646" s="8">
        <v>2954.92</v>
      </c>
      <c r="AX646" s="4">
        <v>44</v>
      </c>
      <c r="AY646" s="8">
        <v>629.68</v>
      </c>
      <c r="AZ646" s="7">
        <v>2.6818</v>
      </c>
      <c r="BA646" s="7">
        <v>3.6927</v>
      </c>
      <c r="BB646" s="7">
        <v>0.1157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0.2385</v>
      </c>
      <c r="BJ646" s="4">
        <v>137</v>
      </c>
      <c r="BK646" s="8">
        <v>3884.01</v>
      </c>
      <c r="BL646" s="2" t="s">
        <v>995</v>
      </c>
      <c r="BM646" s="7">
        <v>0.0876</v>
      </c>
      <c r="BN646" s="7">
        <v>0.0881</v>
      </c>
      <c r="BO646" s="4">
        <v>12</v>
      </c>
      <c r="BP646" s="8">
        <v>342</v>
      </c>
      <c r="BQ646" s="4">
        <v>6</v>
      </c>
      <c r="BR646" s="8">
        <v>143.94</v>
      </c>
      <c r="BS646" s="7">
        <v>1</v>
      </c>
      <c r="BT646" s="7">
        <v>1.376</v>
      </c>
      <c r="BU646" s="2" t="s">
        <v>107</v>
      </c>
      <c r="BV646" s="2" t="s">
        <v>108</v>
      </c>
      <c r="BW646" s="2" t="s">
        <v>2083</v>
      </c>
      <c r="BX646" s="2" t="s">
        <v>2174</v>
      </c>
      <c r="BY646" s="2" t="s">
        <v>111</v>
      </c>
    </row>
    <row r="647">
      <c r="A647" s="2" t="s">
        <v>2175</v>
      </c>
      <c r="B647" s="2" t="s">
        <v>86</v>
      </c>
      <c r="C647" s="2" t="s">
        <v>2106</v>
      </c>
      <c r="D647" s="2" t="s">
        <v>88</v>
      </c>
      <c r="E647" s="2" t="s">
        <v>88</v>
      </c>
      <c r="F647" s="2" t="s">
        <v>2145</v>
      </c>
      <c r="G647" s="2" t="s">
        <v>2146</v>
      </c>
      <c r="H647" s="2" t="s">
        <v>2147</v>
      </c>
      <c r="I647" s="2" t="s">
        <v>2157</v>
      </c>
      <c r="J647" s="2" t="s">
        <v>331</v>
      </c>
      <c r="K647" s="2" t="s">
        <v>551</v>
      </c>
      <c r="L647" s="3">
        <v>13.44</v>
      </c>
      <c r="M647" s="3">
        <v>14.11</v>
      </c>
      <c r="N647" s="3">
        <v>31.99</v>
      </c>
      <c r="O647" s="2" t="s">
        <v>368</v>
      </c>
      <c r="P647" s="2" t="s">
        <v>215</v>
      </c>
      <c r="Q647" s="2" t="s">
        <v>97</v>
      </c>
      <c r="R647" s="2" t="s">
        <v>98</v>
      </c>
      <c r="S647" s="2" t="s">
        <v>2176</v>
      </c>
      <c r="T647" s="2" t="s">
        <v>98</v>
      </c>
      <c r="U647" s="2" t="s">
        <v>98</v>
      </c>
      <c r="V647" s="2" t="s">
        <v>334</v>
      </c>
      <c r="W647" s="2" t="s">
        <v>335</v>
      </c>
      <c r="X647" s="2" t="s">
        <v>98</v>
      </c>
      <c r="Y647" s="2" t="s">
        <v>2155</v>
      </c>
      <c r="Z647" s="4"/>
      <c r="AA647" s="4">
        <f>=ROUNDDOWN({0},0)</f>
      </c>
      <c r="AB647" s="5">
        <v>2</v>
      </c>
      <c r="AC647" s="2" t="s">
        <v>98</v>
      </c>
      <c r="AD647" s="4"/>
      <c r="AE647" s="4"/>
      <c r="AF647" s="6">
        <v>65</v>
      </c>
      <c r="AG647" s="6"/>
      <c r="AH647" s="7">
        <v>0.4222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26</v>
      </c>
      <c r="AS647" s="8">
        <v>303.16</v>
      </c>
      <c r="AT647" s="7">
        <v>-1</v>
      </c>
      <c r="AU647" s="7">
        <v>-1</v>
      </c>
      <c r="AV647" s="4" t="s">
        <v>98</v>
      </c>
      <c r="AW647" s="8" t="s">
        <v>98</v>
      </c>
      <c r="AX647" s="4" t="s">
        <v>98</v>
      </c>
      <c r="AY647" s="8" t="s">
        <v>98</v>
      </c>
      <c r="AZ647" s="7" t="s">
        <v>98</v>
      </c>
      <c r="BA647" s="7" t="s">
        <v>98</v>
      </c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 t="s">
        <v>98</v>
      </c>
      <c r="BJ647" s="4"/>
      <c r="BK647" s="8"/>
      <c r="BL647" s="2" t="s">
        <v>2177</v>
      </c>
      <c r="BM647" s="7"/>
      <c r="BN647" s="7"/>
      <c r="BO647" s="4"/>
      <c r="BP647" s="8"/>
      <c r="BQ647" s="4">
        <v>26</v>
      </c>
      <c r="BR647" s="8">
        <v>303.16</v>
      </c>
      <c r="BS647" s="7">
        <v>-1</v>
      </c>
      <c r="BT647" s="7">
        <v>-1</v>
      </c>
      <c r="BU647" s="2" t="s">
        <v>211</v>
      </c>
      <c r="BV647" s="2" t="s">
        <v>352</v>
      </c>
      <c r="BW647" s="2" t="s">
        <v>2115</v>
      </c>
      <c r="BX647" s="2" t="s">
        <v>2178</v>
      </c>
      <c r="BY647" s="2" t="s">
        <v>111</v>
      </c>
    </row>
    <row r="648">
      <c r="A648" s="2" t="s">
        <v>2179</v>
      </c>
      <c r="B648" s="2" t="s">
        <v>86</v>
      </c>
      <c r="C648" s="2" t="s">
        <v>2106</v>
      </c>
      <c r="D648" s="2" t="s">
        <v>88</v>
      </c>
      <c r="E648" s="2" t="s">
        <v>88</v>
      </c>
      <c r="F648" s="2" t="s">
        <v>2145</v>
      </c>
      <c r="G648" s="2" t="s">
        <v>2146</v>
      </c>
      <c r="H648" s="2" t="s">
        <v>2147</v>
      </c>
      <c r="I648" s="2" t="s">
        <v>2157</v>
      </c>
      <c r="J648" s="2" t="s">
        <v>93</v>
      </c>
      <c r="K648" s="2" t="s">
        <v>551</v>
      </c>
      <c r="L648" s="3">
        <v>16.65</v>
      </c>
      <c r="M648" s="3">
        <v>17.48</v>
      </c>
      <c r="N648" s="3">
        <v>36.99</v>
      </c>
      <c r="O648" s="2" t="s">
        <v>95</v>
      </c>
      <c r="P648" s="2" t="s">
        <v>150</v>
      </c>
      <c r="Q648" s="2" t="s">
        <v>97</v>
      </c>
      <c r="R648" s="2" t="s">
        <v>98</v>
      </c>
      <c r="S648" s="2" t="s">
        <v>2176</v>
      </c>
      <c r="T648" s="2" t="s">
        <v>98</v>
      </c>
      <c r="U648" s="2" t="s">
        <v>98</v>
      </c>
      <c r="V648" s="2" t="s">
        <v>334</v>
      </c>
      <c r="W648" s="2" t="s">
        <v>335</v>
      </c>
      <c r="X648" s="2" t="s">
        <v>2150</v>
      </c>
      <c r="Y648" s="2" t="s">
        <v>2155</v>
      </c>
      <c r="Z648" s="4"/>
      <c r="AA648" s="4">
        <f>=ROUNDDOWN({0},0)</f>
      </c>
      <c r="AB648" s="5">
        <v>26</v>
      </c>
      <c r="AC648" s="2" t="s">
        <v>278</v>
      </c>
      <c r="AD648" s="4">
        <v>244</v>
      </c>
      <c r="AE648" s="4">
        <v>500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148</v>
      </c>
      <c r="AQ648" s="8">
        <v>2573.72</v>
      </c>
      <c r="AR648" s="4">
        <v>3</v>
      </c>
      <c r="AS648" s="8">
        <v>42</v>
      </c>
      <c r="AT648" s="7">
        <v>48.3333</v>
      </c>
      <c r="AU648" s="7">
        <v>60.279</v>
      </c>
      <c r="AV648" s="4" t="s">
        <v>98</v>
      </c>
      <c r="AW648" s="8" t="s">
        <v>98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>
        <v>0.871</v>
      </c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 t="s">
        <v>98</v>
      </c>
      <c r="BJ648" s="4">
        <v>382</v>
      </c>
      <c r="BK648" s="8">
        <v>6400.9</v>
      </c>
      <c r="BL648" s="2" t="s">
        <v>1296</v>
      </c>
      <c r="BM648" s="7">
        <v>0.3874</v>
      </c>
      <c r="BN648" s="7">
        <v>0.4021</v>
      </c>
      <c r="BO648" s="4">
        <v>148</v>
      </c>
      <c r="BP648" s="8">
        <v>2573.72</v>
      </c>
      <c r="BQ648" s="4">
        <v>3</v>
      </c>
      <c r="BR648" s="8">
        <v>42</v>
      </c>
      <c r="BS648" s="7">
        <v>48.3333</v>
      </c>
      <c r="BT648" s="7">
        <v>60.279</v>
      </c>
      <c r="BU648" s="2" t="s">
        <v>107</v>
      </c>
      <c r="BV648" s="2" t="s">
        <v>108</v>
      </c>
      <c r="BW648" s="2" t="s">
        <v>2115</v>
      </c>
      <c r="BX648" s="2" t="s">
        <v>2131</v>
      </c>
      <c r="BY648" s="2" t="s">
        <v>111</v>
      </c>
    </row>
    <row r="649">
      <c r="A649" s="2" t="s">
        <v>2180</v>
      </c>
      <c r="B649" s="2" t="s">
        <v>86</v>
      </c>
      <c r="C649" s="2" t="s">
        <v>2106</v>
      </c>
      <c r="D649" s="2" t="s">
        <v>88</v>
      </c>
      <c r="E649" s="2" t="s">
        <v>88</v>
      </c>
      <c r="F649" s="2" t="s">
        <v>2145</v>
      </c>
      <c r="G649" s="2" t="s">
        <v>2146</v>
      </c>
      <c r="H649" s="2" t="s">
        <v>2147</v>
      </c>
      <c r="I649" s="2" t="s">
        <v>2157</v>
      </c>
      <c r="J649" s="2" t="s">
        <v>113</v>
      </c>
      <c r="K649" s="2" t="s">
        <v>551</v>
      </c>
      <c r="L649" s="3">
        <v>18</v>
      </c>
      <c r="M649" s="3">
        <v>18.9</v>
      </c>
      <c r="N649" s="3">
        <v>39.99</v>
      </c>
      <c r="O649" s="2" t="s">
        <v>95</v>
      </c>
      <c r="P649" s="2" t="s">
        <v>150</v>
      </c>
      <c r="Q649" s="2" t="s">
        <v>97</v>
      </c>
      <c r="R649" s="2" t="s">
        <v>98</v>
      </c>
      <c r="S649" s="2" t="s">
        <v>2176</v>
      </c>
      <c r="T649" s="2" t="s">
        <v>98</v>
      </c>
      <c r="U649" s="2" t="s">
        <v>98</v>
      </c>
      <c r="V649" s="2" t="s">
        <v>334</v>
      </c>
      <c r="W649" s="2" t="s">
        <v>335</v>
      </c>
      <c r="X649" s="2" t="s">
        <v>2150</v>
      </c>
      <c r="Y649" s="2" t="s">
        <v>2155</v>
      </c>
      <c r="Z649" s="4">
        <v>118</v>
      </c>
      <c r="AA649" s="4">
        <f>=ROUNDDOWN(15.9459459459459,0)</f>
      </c>
      <c r="AB649" s="5">
        <v>7.4</v>
      </c>
      <c r="AC649" s="2" t="s">
        <v>278</v>
      </c>
      <c r="AD649" s="4">
        <v>76</v>
      </c>
      <c r="AE649" s="4">
        <v>128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2</v>
      </c>
      <c r="AQ649" s="8">
        <v>39.2</v>
      </c>
      <c r="AR649" s="4">
        <v>9</v>
      </c>
      <c r="AS649" s="8">
        <v>140.58</v>
      </c>
      <c r="AT649" s="7">
        <v>-0.7778</v>
      </c>
      <c r="AU649" s="7">
        <v>-0.7212</v>
      </c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0.0133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>
        <v>133</v>
      </c>
      <c r="BK649" s="8">
        <v>2486.95</v>
      </c>
      <c r="BL649" s="2" t="s">
        <v>2181</v>
      </c>
      <c r="BM649" s="7">
        <v>0.015</v>
      </c>
      <c r="BN649" s="7">
        <v>0.0158</v>
      </c>
      <c r="BO649" s="4">
        <v>2</v>
      </c>
      <c r="BP649" s="8">
        <v>39.2</v>
      </c>
      <c r="BQ649" s="4">
        <v>9</v>
      </c>
      <c r="BR649" s="8">
        <v>140.58</v>
      </c>
      <c r="BS649" s="7">
        <v>-0.7778</v>
      </c>
      <c r="BT649" s="7">
        <v>-0.7212</v>
      </c>
      <c r="BU649" s="2" t="s">
        <v>107</v>
      </c>
      <c r="BV649" s="2" t="s">
        <v>108</v>
      </c>
      <c r="BW649" s="2" t="s">
        <v>2115</v>
      </c>
      <c r="BX649" s="2" t="s">
        <v>2119</v>
      </c>
      <c r="BY649" s="2" t="s">
        <v>111</v>
      </c>
    </row>
    <row r="650">
      <c r="A650" s="2" t="s">
        <v>2182</v>
      </c>
      <c r="B650" s="2" t="s">
        <v>86</v>
      </c>
      <c r="C650" s="2" t="s">
        <v>2106</v>
      </c>
      <c r="D650" s="2" t="s">
        <v>88</v>
      </c>
      <c r="E650" s="2" t="s">
        <v>88</v>
      </c>
      <c r="F650" s="2" t="s">
        <v>2145</v>
      </c>
      <c r="G650" s="2" t="s">
        <v>2146</v>
      </c>
      <c r="H650" s="2" t="s">
        <v>2147</v>
      </c>
      <c r="I650" s="2" t="s">
        <v>2148</v>
      </c>
      <c r="J650" s="2" t="s">
        <v>348</v>
      </c>
      <c r="K650" s="2" t="s">
        <v>299</v>
      </c>
      <c r="L650" s="3">
        <v>25.65</v>
      </c>
      <c r="M650" s="3">
        <v>26.93</v>
      </c>
      <c r="N650" s="3">
        <v>56.99</v>
      </c>
      <c r="O650" s="2" t="s">
        <v>95</v>
      </c>
      <c r="P650" s="2" t="s">
        <v>150</v>
      </c>
      <c r="Q650" s="2" t="s">
        <v>97</v>
      </c>
      <c r="R650" s="2" t="s">
        <v>98</v>
      </c>
      <c r="S650" s="2" t="s">
        <v>2183</v>
      </c>
      <c r="T650" s="2" t="s">
        <v>878</v>
      </c>
      <c r="U650" s="2" t="s">
        <v>100</v>
      </c>
      <c r="V650" s="2" t="s">
        <v>334</v>
      </c>
      <c r="W650" s="2" t="s">
        <v>335</v>
      </c>
      <c r="X650" s="2" t="s">
        <v>2150</v>
      </c>
      <c r="Y650" s="2" t="s">
        <v>2184</v>
      </c>
      <c r="Z650" s="4">
        <v>187</v>
      </c>
      <c r="AA650" s="4">
        <f>=ROUNDDOWN(30.1612903225806,0)</f>
      </c>
      <c r="AB650" s="5">
        <v>6.2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>
        <v>1</v>
      </c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7</v>
      </c>
      <c r="AQ650" s="8">
        <v>199.5</v>
      </c>
      <c r="AR650" s="4"/>
      <c r="AS650" s="8"/>
      <c r="AT650" s="7"/>
      <c r="AU650" s="7"/>
      <c r="AV650" s="4">
        <v>14</v>
      </c>
      <c r="AW650" s="8">
        <v>336.89</v>
      </c>
      <c r="AX650" s="4" t="s">
        <v>98</v>
      </c>
      <c r="AY650" s="8" t="s">
        <v>98</v>
      </c>
      <c r="AZ650" s="7" t="s">
        <v>98</v>
      </c>
      <c r="BA650" s="7" t="s">
        <v>98</v>
      </c>
      <c r="BB650" s="7">
        <v>0.5922</v>
      </c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0.0272</v>
      </c>
      <c r="BJ650" s="4">
        <v>145</v>
      </c>
      <c r="BK650" s="8">
        <v>4127.11</v>
      </c>
      <c r="BL650" s="2" t="s">
        <v>1085</v>
      </c>
      <c r="BM650" s="7">
        <v>0.0483</v>
      </c>
      <c r="BN650" s="7">
        <v>0.0483</v>
      </c>
      <c r="BO650" s="4">
        <v>7</v>
      </c>
      <c r="BP650" s="8">
        <v>199.5</v>
      </c>
      <c r="BQ650" s="4"/>
      <c r="BR650" s="8"/>
      <c r="BS650" s="7"/>
      <c r="BT650" s="7"/>
      <c r="BU650" s="2" t="s">
        <v>107</v>
      </c>
      <c r="BV650" s="2" t="s">
        <v>108</v>
      </c>
      <c r="BW650" s="2" t="s">
        <v>2185</v>
      </c>
      <c r="BX650" s="2" t="s">
        <v>2186</v>
      </c>
      <c r="BY650" s="2" t="s">
        <v>111</v>
      </c>
    </row>
    <row r="651">
      <c r="A651" s="2" t="s">
        <v>2187</v>
      </c>
      <c r="B651" s="2" t="s">
        <v>86</v>
      </c>
      <c r="C651" s="2" t="s">
        <v>2106</v>
      </c>
      <c r="D651" s="2" t="s">
        <v>88</v>
      </c>
      <c r="E651" s="2" t="s">
        <v>88</v>
      </c>
      <c r="F651" s="2" t="s">
        <v>2145</v>
      </c>
      <c r="G651" s="2" t="s">
        <v>2146</v>
      </c>
      <c r="H651" s="2" t="s">
        <v>2147</v>
      </c>
      <c r="I651" s="2" t="s">
        <v>2157</v>
      </c>
      <c r="J651" s="2" t="s">
        <v>93</v>
      </c>
      <c r="K651" s="2" t="s">
        <v>299</v>
      </c>
      <c r="L651" s="3">
        <v>16.65</v>
      </c>
      <c r="M651" s="3">
        <v>17.48</v>
      </c>
      <c r="N651" s="3">
        <v>36.99</v>
      </c>
      <c r="O651" s="2" t="s">
        <v>95</v>
      </c>
      <c r="P651" s="2" t="s">
        <v>150</v>
      </c>
      <c r="Q651" s="2" t="s">
        <v>97</v>
      </c>
      <c r="R651" s="2" t="s">
        <v>98</v>
      </c>
      <c r="S651" s="2" t="s">
        <v>2183</v>
      </c>
      <c r="T651" s="2" t="s">
        <v>878</v>
      </c>
      <c r="U651" s="2" t="s">
        <v>100</v>
      </c>
      <c r="V651" s="2" t="s">
        <v>334</v>
      </c>
      <c r="W651" s="2" t="s">
        <v>335</v>
      </c>
      <c r="X651" s="2" t="s">
        <v>2150</v>
      </c>
      <c r="Y651" s="2" t="s">
        <v>2184</v>
      </c>
      <c r="Z651" s="4">
        <v>228</v>
      </c>
      <c r="AA651" s="4">
        <f>=ROUNDDOWN(15.0993377483444,0)</f>
      </c>
      <c r="AB651" s="5">
        <v>15.1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1</v>
      </c>
      <c r="AQ651" s="8">
        <v>17.39</v>
      </c>
      <c r="AR651" s="4"/>
      <c r="AS651" s="8"/>
      <c r="AT651" s="7"/>
      <c r="AU651" s="7"/>
      <c r="AV651" s="4" t="s">
        <v>98</v>
      </c>
      <c r="AW651" s="8" t="s">
        <v>98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0.0516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 t="s">
        <v>98</v>
      </c>
      <c r="BJ651" s="4">
        <v>144</v>
      </c>
      <c r="BK651" s="8">
        <v>2435.72</v>
      </c>
      <c r="BL651" s="2" t="s">
        <v>256</v>
      </c>
      <c r="BM651" s="7">
        <v>0.0069</v>
      </c>
      <c r="BN651" s="7">
        <v>0.0071</v>
      </c>
      <c r="BO651" s="4">
        <v>1</v>
      </c>
      <c r="BP651" s="8">
        <v>17.39</v>
      </c>
      <c r="BQ651" s="4"/>
      <c r="BR651" s="8"/>
      <c r="BS651" s="7"/>
      <c r="BT651" s="7"/>
      <c r="BU651" s="2" t="s">
        <v>107</v>
      </c>
      <c r="BV651" s="2" t="s">
        <v>108</v>
      </c>
      <c r="BW651" s="2" t="s">
        <v>2185</v>
      </c>
      <c r="BX651" s="2" t="s">
        <v>2188</v>
      </c>
      <c r="BY651" s="2" t="s">
        <v>111</v>
      </c>
    </row>
    <row r="652">
      <c r="A652" s="2" t="s">
        <v>2189</v>
      </c>
      <c r="B652" s="2" t="s">
        <v>86</v>
      </c>
      <c r="C652" s="2" t="s">
        <v>2106</v>
      </c>
      <c r="D652" s="2" t="s">
        <v>88</v>
      </c>
      <c r="E652" s="2" t="s">
        <v>88</v>
      </c>
      <c r="F652" s="2" t="s">
        <v>2145</v>
      </c>
      <c r="G652" s="2" t="s">
        <v>2146</v>
      </c>
      <c r="H652" s="2" t="s">
        <v>2147</v>
      </c>
      <c r="I652" s="2" t="s">
        <v>2157</v>
      </c>
      <c r="J652" s="2" t="s">
        <v>113</v>
      </c>
      <c r="K652" s="2" t="s">
        <v>299</v>
      </c>
      <c r="L652" s="3">
        <v>18</v>
      </c>
      <c r="M652" s="3">
        <v>18.9</v>
      </c>
      <c r="N652" s="3">
        <v>39.99</v>
      </c>
      <c r="O652" s="2" t="s">
        <v>95</v>
      </c>
      <c r="P652" s="2" t="s">
        <v>150</v>
      </c>
      <c r="Q652" s="2" t="s">
        <v>97</v>
      </c>
      <c r="R652" s="2" t="s">
        <v>98</v>
      </c>
      <c r="S652" s="2" t="s">
        <v>2183</v>
      </c>
      <c r="T652" s="2" t="s">
        <v>878</v>
      </c>
      <c r="U652" s="2" t="s">
        <v>100</v>
      </c>
      <c r="V652" s="2" t="s">
        <v>334</v>
      </c>
      <c r="W652" s="2" t="s">
        <v>335</v>
      </c>
      <c r="X652" s="2" t="s">
        <v>2150</v>
      </c>
      <c r="Y652" s="2" t="s">
        <v>2184</v>
      </c>
      <c r="Z652" s="4">
        <v>291</v>
      </c>
      <c r="AA652" s="4">
        <f>=ROUNDDOWN(49.3220338983051,0)</f>
      </c>
      <c r="AB652" s="5">
        <v>5.9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6</v>
      </c>
      <c r="AQ652" s="8">
        <v>120</v>
      </c>
      <c r="AR652" s="4"/>
      <c r="AS652" s="8"/>
      <c r="AT652" s="7"/>
      <c r="AU652" s="7"/>
      <c r="AV652" s="4" t="s">
        <v>98</v>
      </c>
      <c r="AW652" s="8" t="s">
        <v>98</v>
      </c>
      <c r="AX652" s="4" t="s">
        <v>98</v>
      </c>
      <c r="AY652" s="8" t="s">
        <v>98</v>
      </c>
      <c r="AZ652" s="7" t="s">
        <v>98</v>
      </c>
      <c r="BA652" s="7" t="s">
        <v>98</v>
      </c>
      <c r="BB652" s="7">
        <v>0.3562</v>
      </c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 t="s">
        <v>98</v>
      </c>
      <c r="BJ652" s="4">
        <v>58</v>
      </c>
      <c r="BK652" s="8">
        <v>1095.05</v>
      </c>
      <c r="BL652" s="2" t="s">
        <v>2190</v>
      </c>
      <c r="BM652" s="7">
        <v>0.1034</v>
      </c>
      <c r="BN652" s="7">
        <v>0.1096</v>
      </c>
      <c r="BO652" s="4">
        <v>6</v>
      </c>
      <c r="BP652" s="8">
        <v>120</v>
      </c>
      <c r="BQ652" s="4"/>
      <c r="BR652" s="8"/>
      <c r="BS652" s="7"/>
      <c r="BT652" s="7"/>
      <c r="BU652" s="2" t="s">
        <v>107</v>
      </c>
      <c r="BV652" s="2" t="s">
        <v>108</v>
      </c>
      <c r="BW652" s="2" t="s">
        <v>2185</v>
      </c>
      <c r="BX652" s="2" t="s">
        <v>2191</v>
      </c>
      <c r="BY652" s="2" t="s">
        <v>111</v>
      </c>
    </row>
    <row r="653">
      <c r="A653" s="2" t="s">
        <v>2192</v>
      </c>
      <c r="B653" s="2" t="s">
        <v>86</v>
      </c>
      <c r="C653" s="2" t="s">
        <v>2106</v>
      </c>
      <c r="D653" s="2" t="s">
        <v>88</v>
      </c>
      <c r="E653" s="2" t="s">
        <v>88</v>
      </c>
      <c r="F653" s="2" t="s">
        <v>2145</v>
      </c>
      <c r="G653" s="2" t="s">
        <v>2146</v>
      </c>
      <c r="H653" s="2" t="s">
        <v>2147</v>
      </c>
      <c r="I653" s="2" t="s">
        <v>2157</v>
      </c>
      <c r="J653" s="2" t="s">
        <v>113</v>
      </c>
      <c r="K653" s="2" t="s">
        <v>455</v>
      </c>
      <c r="L653" s="3">
        <v>18</v>
      </c>
      <c r="M653" s="3">
        <v>18.9</v>
      </c>
      <c r="N653" s="3">
        <v>39.99</v>
      </c>
      <c r="O653" s="2" t="s">
        <v>368</v>
      </c>
      <c r="P653" s="2" t="s">
        <v>215</v>
      </c>
      <c r="Q653" s="2" t="s">
        <v>97</v>
      </c>
      <c r="R653" s="2" t="s">
        <v>98</v>
      </c>
      <c r="S653" s="2" t="s">
        <v>2193</v>
      </c>
      <c r="T653" s="2" t="s">
        <v>878</v>
      </c>
      <c r="U653" s="2" t="s">
        <v>100</v>
      </c>
      <c r="V653" s="2" t="s">
        <v>334</v>
      </c>
      <c r="W653" s="2" t="s">
        <v>335</v>
      </c>
      <c r="X653" s="2" t="s">
        <v>98</v>
      </c>
      <c r="Y653" s="2" t="s">
        <v>2194</v>
      </c>
      <c r="Z653" s="4">
        <v>67</v>
      </c>
      <c r="AA653" s="4">
        <f>=ROUNDDOWN(335,0)</f>
      </c>
      <c r="AB653" s="5">
        <v>0.2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5</v>
      </c>
      <c r="BK653" s="8">
        <v>89.76</v>
      </c>
      <c r="BL653" s="2" t="s">
        <v>2195</v>
      </c>
      <c r="BM653" s="7"/>
      <c r="BN653" s="7"/>
      <c r="BO653" s="4"/>
      <c r="BP653" s="8"/>
      <c r="BQ653" s="4"/>
      <c r="BR653" s="8"/>
      <c r="BS653" s="7"/>
      <c r="BT653" s="7"/>
      <c r="BU653" s="2" t="s">
        <v>211</v>
      </c>
      <c r="BV653" s="2" t="s">
        <v>95</v>
      </c>
      <c r="BW653" s="2" t="s">
        <v>2185</v>
      </c>
      <c r="BX653" s="2" t="s">
        <v>2196</v>
      </c>
      <c r="BY653" s="2" t="s">
        <v>354</v>
      </c>
    </row>
    <row r="654">
      <c r="A654" s="2" t="s">
        <v>2197</v>
      </c>
      <c r="B654" s="2" t="s">
        <v>86</v>
      </c>
      <c r="C654" s="2" t="s">
        <v>2106</v>
      </c>
      <c r="D654" s="2" t="s">
        <v>88</v>
      </c>
      <c r="E654" s="2" t="s">
        <v>88</v>
      </c>
      <c r="F654" s="2" t="s">
        <v>2198</v>
      </c>
      <c r="G654" s="2" t="s">
        <v>2199</v>
      </c>
      <c r="H654" s="2" t="s">
        <v>2200</v>
      </c>
      <c r="I654" s="2" t="s">
        <v>2201</v>
      </c>
      <c r="J654" s="2" t="s">
        <v>93</v>
      </c>
      <c r="K654" s="2" t="s">
        <v>997</v>
      </c>
      <c r="L654" s="3">
        <v>16.8</v>
      </c>
      <c r="M654" s="3">
        <v>17.64</v>
      </c>
      <c r="N654" s="3">
        <v>39.99</v>
      </c>
      <c r="O654" s="2" t="s">
        <v>95</v>
      </c>
      <c r="P654" s="2" t="s">
        <v>150</v>
      </c>
      <c r="Q654" s="2" t="s">
        <v>97</v>
      </c>
      <c r="R654" s="2" t="s">
        <v>98</v>
      </c>
      <c r="S654" s="2" t="s">
        <v>2202</v>
      </c>
      <c r="T654" s="2" t="s">
        <v>98</v>
      </c>
      <c r="U654" s="2" t="s">
        <v>100</v>
      </c>
      <c r="V654" s="2" t="s">
        <v>617</v>
      </c>
      <c r="W654" s="2" t="s">
        <v>335</v>
      </c>
      <c r="X654" s="2" t="s">
        <v>130</v>
      </c>
      <c r="Y654" s="2" t="s">
        <v>2203</v>
      </c>
      <c r="Z654" s="4">
        <v>308</v>
      </c>
      <c r="AA654" s="4">
        <f>=ROUNDDOWN(11,0)</f>
      </c>
      <c r="AB654" s="5">
        <v>28</v>
      </c>
      <c r="AC654" s="2" t="s">
        <v>1938</v>
      </c>
      <c r="AD654" s="4">
        <v>200</v>
      </c>
      <c r="AE654" s="4">
        <v>620</v>
      </c>
      <c r="AF654" s="6">
        <v>68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59</v>
      </c>
      <c r="AQ654" s="8">
        <v>1132.8</v>
      </c>
      <c r="AR654" s="4"/>
      <c r="AS654" s="8"/>
      <c r="AT654" s="7"/>
      <c r="AU654" s="7"/>
      <c r="AV654" s="4">
        <v>139</v>
      </c>
      <c r="AW654" s="8">
        <v>2944.8</v>
      </c>
      <c r="AX654" s="4" t="s">
        <v>98</v>
      </c>
      <c r="AY654" s="8" t="s">
        <v>98</v>
      </c>
      <c r="AZ654" s="7" t="s">
        <v>98</v>
      </c>
      <c r="BA654" s="7" t="s">
        <v>98</v>
      </c>
      <c r="BB654" s="7">
        <v>0.3847</v>
      </c>
      <c r="BC654" s="4">
        <v>326</v>
      </c>
      <c r="BD654" s="8">
        <v>7003.2</v>
      </c>
      <c r="BE654" s="4">
        <v>178</v>
      </c>
      <c r="BF654" s="8">
        <v>2820.38</v>
      </c>
      <c r="BG654" s="7">
        <v>0.8315</v>
      </c>
      <c r="BH654" s="7">
        <v>1.4831</v>
      </c>
      <c r="BI654" s="7">
        <v>0.4205</v>
      </c>
      <c r="BJ654" s="4">
        <v>199</v>
      </c>
      <c r="BK654" s="8">
        <v>3662.35</v>
      </c>
      <c r="BL654" s="2" t="s">
        <v>2204</v>
      </c>
      <c r="BM654" s="7">
        <v>0.2965</v>
      </c>
      <c r="BN654" s="7">
        <v>0.3093</v>
      </c>
      <c r="BO654" s="4">
        <v>59</v>
      </c>
      <c r="BP654" s="8">
        <v>1132.8</v>
      </c>
      <c r="BQ654" s="4"/>
      <c r="BR654" s="8"/>
      <c r="BS654" s="7"/>
      <c r="BT654" s="7"/>
      <c r="BU654" s="2" t="s">
        <v>107</v>
      </c>
      <c r="BV654" s="2" t="s">
        <v>108</v>
      </c>
      <c r="BW654" s="2" t="s">
        <v>134</v>
      </c>
      <c r="BX654" s="2" t="s">
        <v>923</v>
      </c>
      <c r="BY654" s="2" t="s">
        <v>111</v>
      </c>
    </row>
    <row r="655">
      <c r="A655" s="2" t="s">
        <v>2205</v>
      </c>
      <c r="B655" s="2" t="s">
        <v>86</v>
      </c>
      <c r="C655" s="2" t="s">
        <v>2106</v>
      </c>
      <c r="D655" s="2" t="s">
        <v>88</v>
      </c>
      <c r="E655" s="2" t="s">
        <v>88</v>
      </c>
      <c r="F655" s="2" t="s">
        <v>2198</v>
      </c>
      <c r="G655" s="2" t="s">
        <v>2199</v>
      </c>
      <c r="H655" s="2" t="s">
        <v>2200</v>
      </c>
      <c r="I655" s="2" t="s">
        <v>2201</v>
      </c>
      <c r="J655" s="2" t="s">
        <v>113</v>
      </c>
      <c r="K655" s="2" t="s">
        <v>997</v>
      </c>
      <c r="L655" s="3">
        <v>18.9</v>
      </c>
      <c r="M655" s="3">
        <v>19.84</v>
      </c>
      <c r="N655" s="3">
        <v>44.99</v>
      </c>
      <c r="O655" s="2" t="s">
        <v>95</v>
      </c>
      <c r="P655" s="2" t="s">
        <v>150</v>
      </c>
      <c r="Q655" s="2" t="s">
        <v>97</v>
      </c>
      <c r="R655" s="2" t="s">
        <v>98</v>
      </c>
      <c r="S655" s="2" t="s">
        <v>2202</v>
      </c>
      <c r="T655" s="2" t="s">
        <v>98</v>
      </c>
      <c r="U655" s="2" t="s">
        <v>100</v>
      </c>
      <c r="V655" s="2" t="s">
        <v>617</v>
      </c>
      <c r="W655" s="2" t="s">
        <v>335</v>
      </c>
      <c r="X655" s="2" t="s">
        <v>130</v>
      </c>
      <c r="Y655" s="2" t="s">
        <v>2203</v>
      </c>
      <c r="Z655" s="4">
        <v>79</v>
      </c>
      <c r="AA655" s="4">
        <f>=ROUNDDOWN(6.58333333333333,0)</f>
      </c>
      <c r="AB655" s="5">
        <v>12</v>
      </c>
      <c r="AC655" s="2" t="s">
        <v>1938</v>
      </c>
      <c r="AD655" s="4">
        <v>100</v>
      </c>
      <c r="AE655" s="4">
        <v>280</v>
      </c>
      <c r="AF655" s="6">
        <v>68</v>
      </c>
      <c r="AG655" s="6"/>
      <c r="AH655" s="7">
        <v>1</v>
      </c>
      <c r="AI655" s="4"/>
      <c r="AJ655" s="4">
        <f>=ROUNDDOWN({0},0)</f>
      </c>
      <c r="AK655" s="5">
        <v>1.4</v>
      </c>
      <c r="AL655" s="2" t="s">
        <v>98</v>
      </c>
      <c r="AM655" s="4"/>
      <c r="AN655" s="4"/>
      <c r="AO655" s="7">
        <v>0.0556</v>
      </c>
      <c r="AP655" s="4">
        <v>45</v>
      </c>
      <c r="AQ655" s="8">
        <v>972</v>
      </c>
      <c r="AR655" s="4"/>
      <c r="AS655" s="8"/>
      <c r="AT655" s="7"/>
      <c r="AU655" s="7"/>
      <c r="AV655" s="4" t="s">
        <v>98</v>
      </c>
      <c r="AW655" s="8" t="s">
        <v>98</v>
      </c>
      <c r="AX655" s="4" t="s">
        <v>98</v>
      </c>
      <c r="AY655" s="8" t="s">
        <v>98</v>
      </c>
      <c r="AZ655" s="7" t="s">
        <v>98</v>
      </c>
      <c r="BA655" s="7" t="s">
        <v>98</v>
      </c>
      <c r="BB655" s="7">
        <v>0.3301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 t="s">
        <v>98</v>
      </c>
      <c r="BJ655" s="4">
        <v>164</v>
      </c>
      <c r="BK655" s="8">
        <v>3449.91</v>
      </c>
      <c r="BL655" s="2" t="s">
        <v>2206</v>
      </c>
      <c r="BM655" s="7">
        <v>0.2744</v>
      </c>
      <c r="BN655" s="7">
        <v>0.2817</v>
      </c>
      <c r="BO655" s="4">
        <v>45</v>
      </c>
      <c r="BP655" s="8">
        <v>972</v>
      </c>
      <c r="BQ655" s="4"/>
      <c r="BR655" s="8"/>
      <c r="BS655" s="7"/>
      <c r="BT655" s="7"/>
      <c r="BU655" s="2" t="s">
        <v>107</v>
      </c>
      <c r="BV655" s="2" t="s">
        <v>108</v>
      </c>
      <c r="BW655" s="2" t="s">
        <v>134</v>
      </c>
      <c r="BX655" s="2" t="s">
        <v>923</v>
      </c>
      <c r="BY655" s="2" t="s">
        <v>111</v>
      </c>
    </row>
    <row r="656">
      <c r="A656" s="2" t="s">
        <v>2207</v>
      </c>
      <c r="B656" s="2" t="s">
        <v>86</v>
      </c>
      <c r="C656" s="2" t="s">
        <v>2106</v>
      </c>
      <c r="D656" s="2" t="s">
        <v>88</v>
      </c>
      <c r="E656" s="2" t="s">
        <v>88</v>
      </c>
      <c r="F656" s="2" t="s">
        <v>2198</v>
      </c>
      <c r="G656" s="2" t="s">
        <v>2199</v>
      </c>
      <c r="H656" s="2" t="s">
        <v>2200</v>
      </c>
      <c r="I656" s="2" t="s">
        <v>2201</v>
      </c>
      <c r="J656" s="2" t="s">
        <v>118</v>
      </c>
      <c r="K656" s="2" t="s">
        <v>997</v>
      </c>
      <c r="L656" s="3">
        <v>21</v>
      </c>
      <c r="M656" s="3">
        <v>22.05</v>
      </c>
      <c r="N656" s="3">
        <v>49.99</v>
      </c>
      <c r="O656" s="2" t="s">
        <v>95</v>
      </c>
      <c r="P656" s="2" t="s">
        <v>215</v>
      </c>
      <c r="Q656" s="2" t="s">
        <v>97</v>
      </c>
      <c r="R656" s="2" t="s">
        <v>98</v>
      </c>
      <c r="S656" s="2" t="s">
        <v>2202</v>
      </c>
      <c r="T656" s="2" t="s">
        <v>98</v>
      </c>
      <c r="U656" s="2" t="s">
        <v>100</v>
      </c>
      <c r="V656" s="2" t="s">
        <v>617</v>
      </c>
      <c r="W656" s="2" t="s">
        <v>98</v>
      </c>
      <c r="X656" s="2" t="s">
        <v>98</v>
      </c>
      <c r="Y656" s="2" t="s">
        <v>2203</v>
      </c>
      <c r="Z656" s="4">
        <v>172</v>
      </c>
      <c r="AA656" s="4">
        <f>=ROUNDDOWN(43,0)</f>
      </c>
      <c r="AB656" s="5">
        <v>4</v>
      </c>
      <c r="AC656" s="2" t="s">
        <v>1938</v>
      </c>
      <c r="AD656" s="4">
        <v>60</v>
      </c>
      <c r="AE656" s="4">
        <v>60</v>
      </c>
      <c r="AF656" s="6">
        <v>68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35</v>
      </c>
      <c r="AQ656" s="8">
        <v>840</v>
      </c>
      <c r="AR656" s="4"/>
      <c r="AS656" s="8"/>
      <c r="AT656" s="7"/>
      <c r="AU656" s="7"/>
      <c r="AV656" s="4" t="s">
        <v>98</v>
      </c>
      <c r="AW656" s="8" t="s">
        <v>98</v>
      </c>
      <c r="AX656" s="4" t="s">
        <v>98</v>
      </c>
      <c r="AY656" s="8" t="s">
        <v>98</v>
      </c>
      <c r="AZ656" s="7" t="s">
        <v>98</v>
      </c>
      <c r="BA656" s="7" t="s">
        <v>98</v>
      </c>
      <c r="BB656" s="7">
        <v>0.2852</v>
      </c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 t="s">
        <v>98</v>
      </c>
      <c r="BJ656" s="4">
        <v>75</v>
      </c>
      <c r="BK656" s="8">
        <v>1741.87</v>
      </c>
      <c r="BL656" s="2" t="s">
        <v>2208</v>
      </c>
      <c r="BM656" s="7">
        <v>0.4667</v>
      </c>
      <c r="BN656" s="7">
        <v>0.4822</v>
      </c>
      <c r="BO656" s="4">
        <v>35</v>
      </c>
      <c r="BP656" s="8">
        <v>840</v>
      </c>
      <c r="BQ656" s="4"/>
      <c r="BR656" s="8"/>
      <c r="BS656" s="7"/>
      <c r="BT656" s="7"/>
      <c r="BU656" s="2" t="s">
        <v>107</v>
      </c>
      <c r="BV656" s="2" t="s">
        <v>108</v>
      </c>
      <c r="BW656" s="2" t="s">
        <v>134</v>
      </c>
      <c r="BX656" s="2" t="s">
        <v>172</v>
      </c>
      <c r="BY656" s="2" t="s">
        <v>111</v>
      </c>
    </row>
    <row r="657">
      <c r="A657" s="2" t="s">
        <v>2209</v>
      </c>
      <c r="B657" s="2" t="s">
        <v>86</v>
      </c>
      <c r="C657" s="2" t="s">
        <v>2106</v>
      </c>
      <c r="D657" s="2" t="s">
        <v>88</v>
      </c>
      <c r="E657" s="2" t="s">
        <v>88</v>
      </c>
      <c r="F657" s="2" t="s">
        <v>2198</v>
      </c>
      <c r="G657" s="2" t="s">
        <v>2199</v>
      </c>
      <c r="H657" s="2" t="s">
        <v>2200</v>
      </c>
      <c r="I657" s="2" t="s">
        <v>2201</v>
      </c>
      <c r="J657" s="2" t="s">
        <v>93</v>
      </c>
      <c r="K657" s="2" t="s">
        <v>400</v>
      </c>
      <c r="L657" s="3">
        <v>16.8</v>
      </c>
      <c r="M657" s="3">
        <v>17.64</v>
      </c>
      <c r="N657" s="3">
        <v>39.99</v>
      </c>
      <c r="O657" s="2" t="s">
        <v>95</v>
      </c>
      <c r="P657" s="2" t="s">
        <v>129</v>
      </c>
      <c r="Q657" s="2" t="s">
        <v>97</v>
      </c>
      <c r="R657" s="2" t="s">
        <v>98</v>
      </c>
      <c r="S657" s="2" t="s">
        <v>2210</v>
      </c>
      <c r="T657" s="2" t="s">
        <v>98</v>
      </c>
      <c r="U657" s="2" t="s">
        <v>98</v>
      </c>
      <c r="V657" s="2" t="s">
        <v>617</v>
      </c>
      <c r="W657" s="2" t="s">
        <v>335</v>
      </c>
      <c r="X657" s="2" t="s">
        <v>130</v>
      </c>
      <c r="Y657" s="2" t="s">
        <v>2155</v>
      </c>
      <c r="Z657" s="4">
        <v>120</v>
      </c>
      <c r="AA657" s="4">
        <f>=ROUNDDOWN(4.8,0)</f>
      </c>
      <c r="AB657" s="5">
        <v>25</v>
      </c>
      <c r="AC657" s="2" t="s">
        <v>144</v>
      </c>
      <c r="AD657" s="4">
        <v>340</v>
      </c>
      <c r="AE657" s="4">
        <v>796</v>
      </c>
      <c r="AF657" s="6">
        <v>68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18</v>
      </c>
      <c r="AQ657" s="8">
        <v>345.6</v>
      </c>
      <c r="AR657" s="4">
        <v>30</v>
      </c>
      <c r="AS657" s="8">
        <v>428.7</v>
      </c>
      <c r="AT657" s="7">
        <v>-0.4</v>
      </c>
      <c r="AU657" s="7">
        <v>-0.1938</v>
      </c>
      <c r="AV657" s="4">
        <v>91</v>
      </c>
      <c r="AW657" s="8">
        <v>1989.6</v>
      </c>
      <c r="AX657" s="4">
        <v>92</v>
      </c>
      <c r="AY657" s="8">
        <v>1462.72</v>
      </c>
      <c r="AZ657" s="7">
        <v>-0.0109</v>
      </c>
      <c r="BA657" s="7">
        <v>0.3602</v>
      </c>
      <c r="BB657" s="7">
        <v>0.1737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>
        <v>0.2841</v>
      </c>
      <c r="BJ657" s="4">
        <v>210</v>
      </c>
      <c r="BK657" s="8">
        <v>3703.87</v>
      </c>
      <c r="BL657" s="2" t="s">
        <v>2211</v>
      </c>
      <c r="BM657" s="7">
        <v>0.0857</v>
      </c>
      <c r="BN657" s="7">
        <v>0.0933</v>
      </c>
      <c r="BO657" s="4">
        <v>18</v>
      </c>
      <c r="BP657" s="8">
        <v>345.6</v>
      </c>
      <c r="BQ657" s="4">
        <v>30</v>
      </c>
      <c r="BR657" s="8">
        <v>428.7</v>
      </c>
      <c r="BS657" s="7">
        <v>-0.4</v>
      </c>
      <c r="BT657" s="7">
        <v>-0.1938</v>
      </c>
      <c r="BU657" s="2" t="s">
        <v>107</v>
      </c>
      <c r="BV657" s="2" t="s">
        <v>108</v>
      </c>
      <c r="BW657" s="2" t="s">
        <v>2115</v>
      </c>
      <c r="BX657" s="2" t="s">
        <v>1673</v>
      </c>
      <c r="BY657" s="2" t="s">
        <v>111</v>
      </c>
    </row>
    <row r="658">
      <c r="A658" s="2" t="s">
        <v>2212</v>
      </c>
      <c r="B658" s="2" t="s">
        <v>86</v>
      </c>
      <c r="C658" s="2" t="s">
        <v>2106</v>
      </c>
      <c r="D658" s="2" t="s">
        <v>88</v>
      </c>
      <c r="E658" s="2" t="s">
        <v>88</v>
      </c>
      <c r="F658" s="2" t="s">
        <v>2198</v>
      </c>
      <c r="G658" s="2" t="s">
        <v>2199</v>
      </c>
      <c r="H658" s="2" t="s">
        <v>2200</v>
      </c>
      <c r="I658" s="2" t="s">
        <v>2201</v>
      </c>
      <c r="J658" s="2" t="s">
        <v>113</v>
      </c>
      <c r="K658" s="2" t="s">
        <v>400</v>
      </c>
      <c r="L658" s="3">
        <v>18.9</v>
      </c>
      <c r="M658" s="3">
        <v>19.84</v>
      </c>
      <c r="N658" s="3">
        <v>44.99</v>
      </c>
      <c r="O658" s="2" t="s">
        <v>95</v>
      </c>
      <c r="P658" s="2" t="s">
        <v>129</v>
      </c>
      <c r="Q658" s="2" t="s">
        <v>97</v>
      </c>
      <c r="R658" s="2" t="s">
        <v>98</v>
      </c>
      <c r="S658" s="2" t="s">
        <v>2210</v>
      </c>
      <c r="T658" s="2" t="s">
        <v>98</v>
      </c>
      <c r="U658" s="2" t="s">
        <v>98</v>
      </c>
      <c r="V658" s="2" t="s">
        <v>617</v>
      </c>
      <c r="W658" s="2" t="s">
        <v>335</v>
      </c>
      <c r="X658" s="2" t="s">
        <v>130</v>
      </c>
      <c r="Y658" s="2" t="s">
        <v>2155</v>
      </c>
      <c r="Z658" s="4">
        <v>45</v>
      </c>
      <c r="AA658" s="4">
        <f>=ROUNDDOWN(2.25,0)</f>
      </c>
      <c r="AB658" s="5">
        <v>20</v>
      </c>
      <c r="AC658" s="2" t="s">
        <v>144</v>
      </c>
      <c r="AD658" s="4">
        <v>188</v>
      </c>
      <c r="AE658" s="4">
        <v>528</v>
      </c>
      <c r="AF658" s="6">
        <v>68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0.1778</v>
      </c>
      <c r="AP658" s="4">
        <v>45</v>
      </c>
      <c r="AQ658" s="8">
        <v>972</v>
      </c>
      <c r="AR658" s="4">
        <v>48</v>
      </c>
      <c r="AS658" s="8">
        <v>783.84</v>
      </c>
      <c r="AT658" s="7">
        <v>-0.0625</v>
      </c>
      <c r="AU658" s="7">
        <v>0.24</v>
      </c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>
        <v>0.4885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 t="s">
        <v>98</v>
      </c>
      <c r="BJ658" s="4">
        <v>153</v>
      </c>
      <c r="BK658" s="8">
        <v>3143.86</v>
      </c>
      <c r="BL658" s="2" t="s">
        <v>2177</v>
      </c>
      <c r="BM658" s="7">
        <v>0.2941</v>
      </c>
      <c r="BN658" s="7">
        <v>0.3092</v>
      </c>
      <c r="BO658" s="4">
        <v>45</v>
      </c>
      <c r="BP658" s="8">
        <v>972</v>
      </c>
      <c r="BQ658" s="4">
        <v>48</v>
      </c>
      <c r="BR658" s="8">
        <v>783.84</v>
      </c>
      <c r="BS658" s="7">
        <v>-0.0625</v>
      </c>
      <c r="BT658" s="7">
        <v>0.24</v>
      </c>
      <c r="BU658" s="2" t="s">
        <v>107</v>
      </c>
      <c r="BV658" s="2" t="s">
        <v>108</v>
      </c>
      <c r="BW658" s="2" t="s">
        <v>2115</v>
      </c>
      <c r="BX658" s="2" t="s">
        <v>2131</v>
      </c>
      <c r="BY658" s="2" t="s">
        <v>111</v>
      </c>
    </row>
    <row r="659">
      <c r="A659" s="2" t="s">
        <v>2213</v>
      </c>
      <c r="B659" s="2" t="s">
        <v>86</v>
      </c>
      <c r="C659" s="2" t="s">
        <v>2106</v>
      </c>
      <c r="D659" s="2" t="s">
        <v>88</v>
      </c>
      <c r="E659" s="2" t="s">
        <v>88</v>
      </c>
      <c r="F659" s="2" t="s">
        <v>2198</v>
      </c>
      <c r="G659" s="2" t="s">
        <v>2199</v>
      </c>
      <c r="H659" s="2" t="s">
        <v>2200</v>
      </c>
      <c r="I659" s="2" t="s">
        <v>2201</v>
      </c>
      <c r="J659" s="2" t="s">
        <v>118</v>
      </c>
      <c r="K659" s="2" t="s">
        <v>400</v>
      </c>
      <c r="L659" s="3">
        <v>21</v>
      </c>
      <c r="M659" s="3">
        <v>22.05</v>
      </c>
      <c r="N659" s="3">
        <v>49.99</v>
      </c>
      <c r="O659" s="2" t="s">
        <v>95</v>
      </c>
      <c r="P659" s="2" t="s">
        <v>129</v>
      </c>
      <c r="Q659" s="2" t="s">
        <v>97</v>
      </c>
      <c r="R659" s="2" t="s">
        <v>98</v>
      </c>
      <c r="S659" s="2" t="s">
        <v>2210</v>
      </c>
      <c r="T659" s="2" t="s">
        <v>98</v>
      </c>
      <c r="U659" s="2" t="s">
        <v>98</v>
      </c>
      <c r="V659" s="2" t="s">
        <v>617</v>
      </c>
      <c r="W659" s="2" t="s">
        <v>335</v>
      </c>
      <c r="X659" s="2" t="s">
        <v>130</v>
      </c>
      <c r="Y659" s="2" t="s">
        <v>2155</v>
      </c>
      <c r="Z659" s="4">
        <v>222</v>
      </c>
      <c r="AA659" s="4">
        <f>=ROUNDDOWN(20.1818181818182,0)</f>
      </c>
      <c r="AB659" s="5">
        <v>11</v>
      </c>
      <c r="AC659" s="2" t="s">
        <v>144</v>
      </c>
      <c r="AD659" s="4">
        <v>112</v>
      </c>
      <c r="AE659" s="4">
        <v>112</v>
      </c>
      <c r="AF659" s="6">
        <v>68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0.8556</v>
      </c>
      <c r="AP659" s="4">
        <v>28</v>
      </c>
      <c r="AQ659" s="8">
        <v>672</v>
      </c>
      <c r="AR659" s="4">
        <v>14</v>
      </c>
      <c r="AS659" s="8">
        <v>250.18</v>
      </c>
      <c r="AT659" s="7">
        <v>1</v>
      </c>
      <c r="AU659" s="7">
        <v>1.6861</v>
      </c>
      <c r="AV659" s="4" t="s">
        <v>98</v>
      </c>
      <c r="AW659" s="8" t="s">
        <v>98</v>
      </c>
      <c r="AX659" s="4" t="s">
        <v>98</v>
      </c>
      <c r="AY659" s="8" t="s">
        <v>98</v>
      </c>
      <c r="AZ659" s="7" t="s">
        <v>98</v>
      </c>
      <c r="BA659" s="7" t="s">
        <v>98</v>
      </c>
      <c r="BB659" s="7">
        <v>0.3378</v>
      </c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 t="s">
        <v>98</v>
      </c>
      <c r="BJ659" s="4">
        <v>149</v>
      </c>
      <c r="BK659" s="8">
        <v>3298.51</v>
      </c>
      <c r="BL659" s="2" t="s">
        <v>765</v>
      </c>
      <c r="BM659" s="7">
        <v>0.1879</v>
      </c>
      <c r="BN659" s="7">
        <v>0.2037</v>
      </c>
      <c r="BO659" s="4">
        <v>28</v>
      </c>
      <c r="BP659" s="8">
        <v>672</v>
      </c>
      <c r="BQ659" s="4">
        <v>14</v>
      </c>
      <c r="BR659" s="8">
        <v>250.18</v>
      </c>
      <c r="BS659" s="7">
        <v>1</v>
      </c>
      <c r="BT659" s="7">
        <v>1.6861</v>
      </c>
      <c r="BU659" s="2" t="s">
        <v>107</v>
      </c>
      <c r="BV659" s="2" t="s">
        <v>108</v>
      </c>
      <c r="BW659" s="2" t="s">
        <v>2115</v>
      </c>
      <c r="BX659" s="2" t="s">
        <v>2131</v>
      </c>
      <c r="BY659" s="2" t="s">
        <v>111</v>
      </c>
    </row>
    <row r="660">
      <c r="A660" s="2" t="s">
        <v>2214</v>
      </c>
      <c r="B660" s="2" t="s">
        <v>86</v>
      </c>
      <c r="C660" s="2" t="s">
        <v>2106</v>
      </c>
      <c r="D660" s="2" t="s">
        <v>88</v>
      </c>
      <c r="E660" s="2" t="s">
        <v>88</v>
      </c>
      <c r="F660" s="2" t="s">
        <v>2198</v>
      </c>
      <c r="G660" s="2" t="s">
        <v>2199</v>
      </c>
      <c r="H660" s="2" t="s">
        <v>2200</v>
      </c>
      <c r="I660" s="2" t="s">
        <v>2201</v>
      </c>
      <c r="J660" s="2" t="s">
        <v>93</v>
      </c>
      <c r="K660" s="2" t="s">
        <v>247</v>
      </c>
      <c r="L660" s="3">
        <v>16.8</v>
      </c>
      <c r="M660" s="3">
        <v>17.64</v>
      </c>
      <c r="N660" s="3">
        <v>39.99</v>
      </c>
      <c r="O660" s="2" t="s">
        <v>95</v>
      </c>
      <c r="P660" s="2" t="s">
        <v>150</v>
      </c>
      <c r="Q660" s="2" t="s">
        <v>97</v>
      </c>
      <c r="R660" s="2" t="s">
        <v>98</v>
      </c>
      <c r="S660" s="2" t="s">
        <v>2215</v>
      </c>
      <c r="T660" s="2" t="s">
        <v>98</v>
      </c>
      <c r="U660" s="2" t="s">
        <v>98</v>
      </c>
      <c r="V660" s="2" t="s">
        <v>617</v>
      </c>
      <c r="W660" s="2" t="s">
        <v>335</v>
      </c>
      <c r="X660" s="2" t="s">
        <v>130</v>
      </c>
      <c r="Y660" s="2" t="s">
        <v>2155</v>
      </c>
      <c r="Z660" s="4">
        <v>351</v>
      </c>
      <c r="AA660" s="4">
        <f>=ROUNDDOWN(13,0)</f>
      </c>
      <c r="AB660" s="5">
        <v>27</v>
      </c>
      <c r="AC660" s="2" t="s">
        <v>1938</v>
      </c>
      <c r="AD660" s="4">
        <v>132</v>
      </c>
      <c r="AE660" s="4">
        <v>404</v>
      </c>
      <c r="AF660" s="6">
        <v>68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34</v>
      </c>
      <c r="AQ660" s="8">
        <v>652.8</v>
      </c>
      <c r="AR660" s="4">
        <v>45</v>
      </c>
      <c r="AS660" s="8">
        <v>643.05</v>
      </c>
      <c r="AT660" s="7">
        <v>-0.2444</v>
      </c>
      <c r="AU660" s="7">
        <v>0.0152</v>
      </c>
      <c r="AV660" s="4">
        <v>79</v>
      </c>
      <c r="AW660" s="8">
        <v>1684.8</v>
      </c>
      <c r="AX660" s="4">
        <v>68</v>
      </c>
      <c r="AY660" s="8">
        <v>1018.64</v>
      </c>
      <c r="AZ660" s="7">
        <v>0.1618</v>
      </c>
      <c r="BA660" s="7">
        <v>0.654</v>
      </c>
      <c r="BB660" s="7">
        <v>0.3875</v>
      </c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>
        <v>0.2406</v>
      </c>
      <c r="BJ660" s="4">
        <v>270</v>
      </c>
      <c r="BK660" s="8">
        <v>4592.89</v>
      </c>
      <c r="BL660" s="2" t="s">
        <v>2216</v>
      </c>
      <c r="BM660" s="7">
        <v>0.1259</v>
      </c>
      <c r="BN660" s="7">
        <v>0.1421</v>
      </c>
      <c r="BO660" s="4">
        <v>34</v>
      </c>
      <c r="BP660" s="8">
        <v>652.8</v>
      </c>
      <c r="BQ660" s="4">
        <v>45</v>
      </c>
      <c r="BR660" s="8">
        <v>643.05</v>
      </c>
      <c r="BS660" s="7">
        <v>-0.2444</v>
      </c>
      <c r="BT660" s="7">
        <v>0.0152</v>
      </c>
      <c r="BU660" s="2" t="s">
        <v>107</v>
      </c>
      <c r="BV660" s="2" t="s">
        <v>108</v>
      </c>
      <c r="BW660" s="2" t="s">
        <v>2115</v>
      </c>
      <c r="BX660" s="2" t="s">
        <v>2131</v>
      </c>
      <c r="BY660" s="2" t="s">
        <v>111</v>
      </c>
    </row>
    <row r="661">
      <c r="A661" s="2" t="s">
        <v>2217</v>
      </c>
      <c r="B661" s="2" t="s">
        <v>86</v>
      </c>
      <c r="C661" s="2" t="s">
        <v>2106</v>
      </c>
      <c r="D661" s="2" t="s">
        <v>88</v>
      </c>
      <c r="E661" s="2" t="s">
        <v>88</v>
      </c>
      <c r="F661" s="2" t="s">
        <v>2198</v>
      </c>
      <c r="G661" s="2" t="s">
        <v>2199</v>
      </c>
      <c r="H661" s="2" t="s">
        <v>2200</v>
      </c>
      <c r="I661" s="2" t="s">
        <v>2201</v>
      </c>
      <c r="J661" s="2" t="s">
        <v>113</v>
      </c>
      <c r="K661" s="2" t="s">
        <v>247</v>
      </c>
      <c r="L661" s="3">
        <v>18.9</v>
      </c>
      <c r="M661" s="3">
        <v>19.84</v>
      </c>
      <c r="N661" s="3">
        <v>44.99</v>
      </c>
      <c r="O661" s="2" t="s">
        <v>95</v>
      </c>
      <c r="P661" s="2" t="s">
        <v>150</v>
      </c>
      <c r="Q661" s="2" t="s">
        <v>97</v>
      </c>
      <c r="R661" s="2" t="s">
        <v>98</v>
      </c>
      <c r="S661" s="2" t="s">
        <v>2215</v>
      </c>
      <c r="T661" s="2" t="s">
        <v>98</v>
      </c>
      <c r="U661" s="2" t="s">
        <v>98</v>
      </c>
      <c r="V661" s="2" t="s">
        <v>617</v>
      </c>
      <c r="W661" s="2" t="s">
        <v>335</v>
      </c>
      <c r="X661" s="2" t="s">
        <v>130</v>
      </c>
      <c r="Y661" s="2" t="s">
        <v>2155</v>
      </c>
      <c r="Z661" s="4">
        <v>198</v>
      </c>
      <c r="AA661" s="4">
        <f>=ROUNDDOWN(13.2,0)</f>
      </c>
      <c r="AB661" s="5">
        <v>15</v>
      </c>
      <c r="AC661" s="2" t="s">
        <v>1938</v>
      </c>
      <c r="AD661" s="4">
        <v>72</v>
      </c>
      <c r="AE661" s="4">
        <v>192</v>
      </c>
      <c r="AF661" s="6">
        <v>68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1</v>
      </c>
      <c r="AP661" s="4">
        <v>20</v>
      </c>
      <c r="AQ661" s="8">
        <v>432</v>
      </c>
      <c r="AR661" s="4">
        <v>23</v>
      </c>
      <c r="AS661" s="8">
        <v>375.59</v>
      </c>
      <c r="AT661" s="7">
        <v>-0.1304</v>
      </c>
      <c r="AU661" s="7">
        <v>0.1502</v>
      </c>
      <c r="AV661" s="4" t="s">
        <v>98</v>
      </c>
      <c r="AW661" s="8" t="s">
        <v>98</v>
      </c>
      <c r="AX661" s="4" t="s">
        <v>98</v>
      </c>
      <c r="AY661" s="8" t="s">
        <v>98</v>
      </c>
      <c r="AZ661" s="7" t="s">
        <v>98</v>
      </c>
      <c r="BA661" s="7" t="s">
        <v>98</v>
      </c>
      <c r="BB661" s="7">
        <v>0.2564</v>
      </c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 t="s">
        <v>98</v>
      </c>
      <c r="BJ661" s="4">
        <v>140</v>
      </c>
      <c r="BK661" s="8">
        <v>2721.12</v>
      </c>
      <c r="BL661" s="2" t="s">
        <v>1296</v>
      </c>
      <c r="BM661" s="7">
        <v>0.1429</v>
      </c>
      <c r="BN661" s="7">
        <v>0.1588</v>
      </c>
      <c r="BO661" s="4">
        <v>20</v>
      </c>
      <c r="BP661" s="8">
        <v>432</v>
      </c>
      <c r="BQ661" s="4">
        <v>23</v>
      </c>
      <c r="BR661" s="8">
        <v>375.59</v>
      </c>
      <c r="BS661" s="7">
        <v>-0.1304</v>
      </c>
      <c r="BT661" s="7">
        <v>0.1502</v>
      </c>
      <c r="BU661" s="2" t="s">
        <v>107</v>
      </c>
      <c r="BV661" s="2" t="s">
        <v>108</v>
      </c>
      <c r="BW661" s="2" t="s">
        <v>2115</v>
      </c>
      <c r="BX661" s="2" t="s">
        <v>2218</v>
      </c>
      <c r="BY661" s="2" t="s">
        <v>111</v>
      </c>
    </row>
    <row r="662">
      <c r="A662" s="2" t="s">
        <v>2219</v>
      </c>
      <c r="B662" s="2" t="s">
        <v>86</v>
      </c>
      <c r="C662" s="2" t="s">
        <v>2106</v>
      </c>
      <c r="D662" s="2" t="s">
        <v>88</v>
      </c>
      <c r="E662" s="2" t="s">
        <v>88</v>
      </c>
      <c r="F662" s="2" t="s">
        <v>2198</v>
      </c>
      <c r="G662" s="2" t="s">
        <v>2199</v>
      </c>
      <c r="H662" s="2" t="s">
        <v>2200</v>
      </c>
      <c r="I662" s="2" t="s">
        <v>2201</v>
      </c>
      <c r="J662" s="2" t="s">
        <v>118</v>
      </c>
      <c r="K662" s="2" t="s">
        <v>247</v>
      </c>
      <c r="L662" s="3">
        <v>21</v>
      </c>
      <c r="M662" s="3">
        <v>22.05</v>
      </c>
      <c r="N662" s="3">
        <v>49.99</v>
      </c>
      <c r="O662" s="2" t="s">
        <v>95</v>
      </c>
      <c r="P662" s="2" t="s">
        <v>150</v>
      </c>
      <c r="Q662" s="2" t="s">
        <v>97</v>
      </c>
      <c r="R662" s="2" t="s">
        <v>98</v>
      </c>
      <c r="S662" s="2" t="s">
        <v>2215</v>
      </c>
      <c r="T662" s="2" t="s">
        <v>98</v>
      </c>
      <c r="U662" s="2" t="s">
        <v>98</v>
      </c>
      <c r="V662" s="2" t="s">
        <v>617</v>
      </c>
      <c r="W662" s="2" t="s">
        <v>335</v>
      </c>
      <c r="X662" s="2" t="s">
        <v>130</v>
      </c>
      <c r="Y662" s="2" t="s">
        <v>2155</v>
      </c>
      <c r="Z662" s="4">
        <v>125</v>
      </c>
      <c r="AA662" s="4">
        <f>=ROUNDDOWN(20.8333333333333,0)</f>
      </c>
      <c r="AB662" s="5">
        <v>6</v>
      </c>
      <c r="AC662" s="2" t="s">
        <v>2113</v>
      </c>
      <c r="AD662" s="4">
        <v>120</v>
      </c>
      <c r="AE662" s="4">
        <v>212</v>
      </c>
      <c r="AF662" s="6">
        <v>68</v>
      </c>
      <c r="AG662" s="6"/>
      <c r="AH662" s="7">
        <v>1</v>
      </c>
      <c r="AI662" s="4"/>
      <c r="AJ662" s="4">
        <f>=ROUNDDOWN({0},0)</f>
      </c>
      <c r="AK662" s="5">
        <v>0.4</v>
      </c>
      <c r="AL662" s="2" t="s">
        <v>98</v>
      </c>
      <c r="AM662" s="4"/>
      <c r="AN662" s="4"/>
      <c r="AO662" s="7">
        <v>0.1778</v>
      </c>
      <c r="AP662" s="4">
        <v>25</v>
      </c>
      <c r="AQ662" s="8">
        <v>600</v>
      </c>
      <c r="AR662" s="4"/>
      <c r="AS662" s="8"/>
      <c r="AT662" s="7"/>
      <c r="AU662" s="7"/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>
        <v>0.3561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 t="s">
        <v>98</v>
      </c>
      <c r="BJ662" s="4">
        <v>69</v>
      </c>
      <c r="BK662" s="8">
        <v>1543.77</v>
      </c>
      <c r="BL662" s="2" t="s">
        <v>1287</v>
      </c>
      <c r="BM662" s="7">
        <v>0.3623</v>
      </c>
      <c r="BN662" s="7">
        <v>0.3887</v>
      </c>
      <c r="BO662" s="4">
        <v>25</v>
      </c>
      <c r="BP662" s="8">
        <v>600</v>
      </c>
      <c r="BQ662" s="4"/>
      <c r="BR662" s="8"/>
      <c r="BS662" s="7"/>
      <c r="BT662" s="7"/>
      <c r="BU662" s="2" t="s">
        <v>107</v>
      </c>
      <c r="BV662" s="2" t="s">
        <v>108</v>
      </c>
      <c r="BW662" s="2" t="s">
        <v>2115</v>
      </c>
      <c r="BX662" s="2" t="s">
        <v>2131</v>
      </c>
      <c r="BY662" s="2" t="s">
        <v>111</v>
      </c>
    </row>
    <row r="663">
      <c r="A663" s="2" t="s">
        <v>2220</v>
      </c>
      <c r="B663" s="2" t="s">
        <v>86</v>
      </c>
      <c r="C663" s="2" t="s">
        <v>2106</v>
      </c>
      <c r="D663" s="2" t="s">
        <v>88</v>
      </c>
      <c r="E663" s="2" t="s">
        <v>88</v>
      </c>
      <c r="F663" s="2" t="s">
        <v>2198</v>
      </c>
      <c r="G663" s="2" t="s">
        <v>2199</v>
      </c>
      <c r="H663" s="2" t="s">
        <v>2200</v>
      </c>
      <c r="I663" s="2" t="s">
        <v>2201</v>
      </c>
      <c r="J663" s="2" t="s">
        <v>93</v>
      </c>
      <c r="K663" s="2" t="s">
        <v>299</v>
      </c>
      <c r="L663" s="3">
        <v>16.8</v>
      </c>
      <c r="M663" s="3">
        <v>17.64</v>
      </c>
      <c r="N663" s="3">
        <v>39.99</v>
      </c>
      <c r="O663" s="2" t="s">
        <v>95</v>
      </c>
      <c r="P663" s="2" t="s">
        <v>150</v>
      </c>
      <c r="Q663" s="2" t="s">
        <v>97</v>
      </c>
      <c r="R663" s="2" t="s">
        <v>98</v>
      </c>
      <c r="S663" s="2" t="s">
        <v>2221</v>
      </c>
      <c r="T663" s="2" t="s">
        <v>878</v>
      </c>
      <c r="U663" s="2" t="s">
        <v>100</v>
      </c>
      <c r="V663" s="2" t="s">
        <v>617</v>
      </c>
      <c r="W663" s="2" t="s">
        <v>335</v>
      </c>
      <c r="X663" s="2" t="s">
        <v>130</v>
      </c>
      <c r="Y663" s="2" t="s">
        <v>2222</v>
      </c>
      <c r="Z663" s="4">
        <v>118</v>
      </c>
      <c r="AA663" s="4">
        <f>=ROUNDDOWN(8.42857142857143,0)</f>
      </c>
      <c r="AB663" s="5">
        <v>14</v>
      </c>
      <c r="AC663" s="2" t="s">
        <v>309</v>
      </c>
      <c r="AD663" s="4">
        <v>392</v>
      </c>
      <c r="AE663" s="4">
        <v>392</v>
      </c>
      <c r="AF663" s="6">
        <v>68</v>
      </c>
      <c r="AG663" s="6"/>
      <c r="AH663" s="7">
        <v>1</v>
      </c>
      <c r="AI663" s="4"/>
      <c r="AJ663" s="4">
        <f>=ROUNDDOWN({0},0)</f>
      </c>
      <c r="AK663" s="5">
        <v>0.2</v>
      </c>
      <c r="AL663" s="2" t="s">
        <v>98</v>
      </c>
      <c r="AM663" s="4"/>
      <c r="AN663" s="4"/>
      <c r="AO663" s="7">
        <v>0.3778</v>
      </c>
      <c r="AP663" s="4"/>
      <c r="AQ663" s="8"/>
      <c r="AR663" s="4">
        <v>2</v>
      </c>
      <c r="AS663" s="8">
        <v>31.74</v>
      </c>
      <c r="AT663" s="7">
        <v>-1</v>
      </c>
      <c r="AU663" s="7">
        <v>-1</v>
      </c>
      <c r="AV663" s="4">
        <v>8</v>
      </c>
      <c r="AW663" s="8">
        <v>192</v>
      </c>
      <c r="AX663" s="4">
        <v>18</v>
      </c>
      <c r="AY663" s="8">
        <v>339.02</v>
      </c>
      <c r="AZ663" s="7">
        <v>-0.5556</v>
      </c>
      <c r="BA663" s="7">
        <v>-0.4337</v>
      </c>
      <c r="BB663" s="7"/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0.0274</v>
      </c>
      <c r="BJ663" s="4">
        <v>117</v>
      </c>
      <c r="BK663" s="8">
        <v>2091.27</v>
      </c>
      <c r="BL663" s="2" t="s">
        <v>2223</v>
      </c>
      <c r="BM663" s="7"/>
      <c r="BN663" s="7"/>
      <c r="BO663" s="4"/>
      <c r="BP663" s="8"/>
      <c r="BQ663" s="4">
        <v>2</v>
      </c>
      <c r="BR663" s="8">
        <v>31.74</v>
      </c>
      <c r="BS663" s="7">
        <v>-1</v>
      </c>
      <c r="BT663" s="7">
        <v>-1</v>
      </c>
      <c r="BU663" s="2" t="s">
        <v>107</v>
      </c>
      <c r="BV663" s="2" t="s">
        <v>108</v>
      </c>
      <c r="BW663" s="2" t="s">
        <v>801</v>
      </c>
      <c r="BX663" s="2" t="s">
        <v>802</v>
      </c>
      <c r="BY663" s="2" t="s">
        <v>111</v>
      </c>
    </row>
    <row r="664">
      <c r="A664" s="2" t="s">
        <v>2224</v>
      </c>
      <c r="B664" s="2" t="s">
        <v>86</v>
      </c>
      <c r="C664" s="2" t="s">
        <v>2106</v>
      </c>
      <c r="D664" s="2" t="s">
        <v>88</v>
      </c>
      <c r="E664" s="2" t="s">
        <v>88</v>
      </c>
      <c r="F664" s="2" t="s">
        <v>2198</v>
      </c>
      <c r="G664" s="2" t="s">
        <v>2199</v>
      </c>
      <c r="H664" s="2" t="s">
        <v>2200</v>
      </c>
      <c r="I664" s="2" t="s">
        <v>2201</v>
      </c>
      <c r="J664" s="2" t="s">
        <v>113</v>
      </c>
      <c r="K664" s="2" t="s">
        <v>299</v>
      </c>
      <c r="L664" s="3">
        <v>18.9</v>
      </c>
      <c r="M664" s="3">
        <v>19.84</v>
      </c>
      <c r="N664" s="3">
        <v>44.99</v>
      </c>
      <c r="O664" s="2" t="s">
        <v>95</v>
      </c>
      <c r="P664" s="2" t="s">
        <v>150</v>
      </c>
      <c r="Q664" s="2" t="s">
        <v>97</v>
      </c>
      <c r="R664" s="2" t="s">
        <v>98</v>
      </c>
      <c r="S664" s="2" t="s">
        <v>2221</v>
      </c>
      <c r="T664" s="2" t="s">
        <v>878</v>
      </c>
      <c r="U664" s="2" t="s">
        <v>100</v>
      </c>
      <c r="V664" s="2" t="s">
        <v>617</v>
      </c>
      <c r="W664" s="2" t="s">
        <v>335</v>
      </c>
      <c r="X664" s="2" t="s">
        <v>130</v>
      </c>
      <c r="Y664" s="2" t="s">
        <v>2222</v>
      </c>
      <c r="Z664" s="4">
        <v>148</v>
      </c>
      <c r="AA664" s="4">
        <f>=ROUNDDOWN(20,0)</f>
      </c>
      <c r="AB664" s="5">
        <v>7.4</v>
      </c>
      <c r="AC664" s="2" t="s">
        <v>309</v>
      </c>
      <c r="AD664" s="4">
        <v>108</v>
      </c>
      <c r="AE664" s="4">
        <v>108</v>
      </c>
      <c r="AF664" s="6">
        <v>68</v>
      </c>
      <c r="AG664" s="6"/>
      <c r="AH664" s="7">
        <v>1</v>
      </c>
      <c r="AI664" s="4">
        <v>3</v>
      </c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>
        <v>6</v>
      </c>
      <c r="AS664" s="8">
        <v>108.78</v>
      </c>
      <c r="AT664" s="7">
        <v>-1</v>
      </c>
      <c r="AU664" s="7">
        <v>-1</v>
      </c>
      <c r="AV664" s="4" t="s">
        <v>98</v>
      </c>
      <c r="AW664" s="8" t="s">
        <v>98</v>
      </c>
      <c r="AX664" s="4" t="s">
        <v>98</v>
      </c>
      <c r="AY664" s="8" t="s">
        <v>98</v>
      </c>
      <c r="AZ664" s="7" t="s">
        <v>98</v>
      </c>
      <c r="BA664" s="7" t="s">
        <v>98</v>
      </c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 t="s">
        <v>98</v>
      </c>
      <c r="BJ664" s="4">
        <v>35</v>
      </c>
      <c r="BK664" s="8">
        <v>697.25</v>
      </c>
      <c r="BL664" s="2" t="s">
        <v>2225</v>
      </c>
      <c r="BM664" s="7"/>
      <c r="BN664" s="7"/>
      <c r="BO664" s="4"/>
      <c r="BP664" s="8"/>
      <c r="BQ664" s="4">
        <v>6</v>
      </c>
      <c r="BR664" s="8">
        <v>108.78</v>
      </c>
      <c r="BS664" s="7">
        <v>-1</v>
      </c>
      <c r="BT664" s="7">
        <v>-1</v>
      </c>
      <c r="BU664" s="2" t="s">
        <v>107</v>
      </c>
      <c r="BV664" s="2" t="s">
        <v>108</v>
      </c>
      <c r="BW664" s="2" t="s">
        <v>801</v>
      </c>
      <c r="BX664" s="2" t="s">
        <v>2226</v>
      </c>
      <c r="BY664" s="2" t="s">
        <v>111</v>
      </c>
    </row>
    <row r="665">
      <c r="A665" s="2" t="s">
        <v>2227</v>
      </c>
      <c r="B665" s="2" t="s">
        <v>86</v>
      </c>
      <c r="C665" s="2" t="s">
        <v>2106</v>
      </c>
      <c r="D665" s="2" t="s">
        <v>88</v>
      </c>
      <c r="E665" s="2" t="s">
        <v>88</v>
      </c>
      <c r="F665" s="2" t="s">
        <v>2198</v>
      </c>
      <c r="G665" s="2" t="s">
        <v>2199</v>
      </c>
      <c r="H665" s="2" t="s">
        <v>2200</v>
      </c>
      <c r="I665" s="2" t="s">
        <v>2201</v>
      </c>
      <c r="J665" s="2" t="s">
        <v>118</v>
      </c>
      <c r="K665" s="2" t="s">
        <v>299</v>
      </c>
      <c r="L665" s="3">
        <v>21</v>
      </c>
      <c r="M665" s="3">
        <v>22.05</v>
      </c>
      <c r="N665" s="3">
        <v>49.99</v>
      </c>
      <c r="O665" s="2" t="s">
        <v>95</v>
      </c>
      <c r="P665" s="2" t="s">
        <v>215</v>
      </c>
      <c r="Q665" s="2" t="s">
        <v>97</v>
      </c>
      <c r="R665" s="2" t="s">
        <v>98</v>
      </c>
      <c r="S665" s="2" t="s">
        <v>2221</v>
      </c>
      <c r="T665" s="2" t="s">
        <v>878</v>
      </c>
      <c r="U665" s="2" t="s">
        <v>100</v>
      </c>
      <c r="V665" s="2" t="s">
        <v>617</v>
      </c>
      <c r="W665" s="2" t="s">
        <v>335</v>
      </c>
      <c r="X665" s="2" t="s">
        <v>98</v>
      </c>
      <c r="Y665" s="2" t="s">
        <v>2222</v>
      </c>
      <c r="Z665" s="4">
        <v>179</v>
      </c>
      <c r="AA665" s="4">
        <f>=ROUNDDOWN(22.9487179487179,0)</f>
      </c>
      <c r="AB665" s="5">
        <v>7.8</v>
      </c>
      <c r="AC665" s="2" t="s">
        <v>98</v>
      </c>
      <c r="AD665" s="4"/>
      <c r="AE665" s="4"/>
      <c r="AF665" s="6">
        <v>68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8</v>
      </c>
      <c r="AQ665" s="8">
        <v>192</v>
      </c>
      <c r="AR665" s="4">
        <v>10</v>
      </c>
      <c r="AS665" s="8">
        <v>198.5</v>
      </c>
      <c r="AT665" s="7">
        <v>-0.2</v>
      </c>
      <c r="AU665" s="7">
        <v>-0.0327</v>
      </c>
      <c r="AV665" s="4" t="s">
        <v>98</v>
      </c>
      <c r="AW665" s="8" t="s">
        <v>98</v>
      </c>
      <c r="AX665" s="4" t="s">
        <v>98</v>
      </c>
      <c r="AY665" s="8" t="s">
        <v>98</v>
      </c>
      <c r="AZ665" s="7" t="s">
        <v>98</v>
      </c>
      <c r="BA665" s="7" t="s">
        <v>98</v>
      </c>
      <c r="BB665" s="7">
        <v>1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 t="s">
        <v>98</v>
      </c>
      <c r="BJ665" s="4">
        <v>47</v>
      </c>
      <c r="BK665" s="8">
        <v>1053.89</v>
      </c>
      <c r="BL665" s="2" t="s">
        <v>2228</v>
      </c>
      <c r="BM665" s="7">
        <v>0.1702</v>
      </c>
      <c r="BN665" s="7">
        <v>0.1822</v>
      </c>
      <c r="BO665" s="4">
        <v>8</v>
      </c>
      <c r="BP665" s="8">
        <v>192</v>
      </c>
      <c r="BQ665" s="4">
        <v>10</v>
      </c>
      <c r="BR665" s="8">
        <v>198.5</v>
      </c>
      <c r="BS665" s="7">
        <v>-0.2</v>
      </c>
      <c r="BT665" s="7">
        <v>-0.0327</v>
      </c>
      <c r="BU665" s="2" t="s">
        <v>107</v>
      </c>
      <c r="BV665" s="2" t="s">
        <v>108</v>
      </c>
      <c r="BW665" s="2" t="s">
        <v>801</v>
      </c>
      <c r="BX665" s="2" t="s">
        <v>2226</v>
      </c>
      <c r="BY665" s="2" t="s">
        <v>111</v>
      </c>
    </row>
    <row r="666">
      <c r="A666" s="2" t="s">
        <v>2229</v>
      </c>
      <c r="B666" s="2" t="s">
        <v>86</v>
      </c>
      <c r="C666" s="2" t="s">
        <v>2106</v>
      </c>
      <c r="D666" s="2" t="s">
        <v>88</v>
      </c>
      <c r="E666" s="2" t="s">
        <v>88</v>
      </c>
      <c r="F666" s="2" t="s">
        <v>2198</v>
      </c>
      <c r="G666" s="2" t="s">
        <v>2199</v>
      </c>
      <c r="H666" s="2" t="s">
        <v>2200</v>
      </c>
      <c r="I666" s="2" t="s">
        <v>2201</v>
      </c>
      <c r="J666" s="2" t="s">
        <v>93</v>
      </c>
      <c r="K666" s="2" t="s">
        <v>2230</v>
      </c>
      <c r="L666" s="3">
        <v>16.8</v>
      </c>
      <c r="M666" s="3">
        <v>17.64</v>
      </c>
      <c r="N666" s="3">
        <v>39.99</v>
      </c>
      <c r="O666" s="2" t="s">
        <v>368</v>
      </c>
      <c r="P666" s="2" t="s">
        <v>215</v>
      </c>
      <c r="Q666" s="2" t="s">
        <v>97</v>
      </c>
      <c r="R666" s="2" t="s">
        <v>98</v>
      </c>
      <c r="S666" s="2" t="s">
        <v>2231</v>
      </c>
      <c r="T666" s="2" t="s">
        <v>1796</v>
      </c>
      <c r="U666" s="2" t="s">
        <v>100</v>
      </c>
      <c r="V666" s="2" t="s">
        <v>617</v>
      </c>
      <c r="W666" s="2" t="s">
        <v>335</v>
      </c>
      <c r="X666" s="2" t="s">
        <v>98</v>
      </c>
      <c r="Y666" s="2" t="s">
        <v>2232</v>
      </c>
      <c r="Z666" s="4">
        <v>2</v>
      </c>
      <c r="AA666" s="4">
        <f>=ROUNDDOWN(0.105263157894737,0)</f>
      </c>
      <c r="AB666" s="5">
        <v>19</v>
      </c>
      <c r="AC666" s="2" t="s">
        <v>98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3</v>
      </c>
      <c r="AQ666" s="8">
        <v>57.6</v>
      </c>
      <c r="AR666" s="4"/>
      <c r="AS666" s="8"/>
      <c r="AT666" s="7"/>
      <c r="AU666" s="7"/>
      <c r="AV666" s="4">
        <v>9</v>
      </c>
      <c r="AW666" s="8">
        <v>192</v>
      </c>
      <c r="AX666" s="4" t="s">
        <v>98</v>
      </c>
      <c r="AY666" s="8" t="s">
        <v>98</v>
      </c>
      <c r="AZ666" s="7" t="s">
        <v>98</v>
      </c>
      <c r="BA666" s="7" t="s">
        <v>98</v>
      </c>
      <c r="BB666" s="7">
        <v>0.3</v>
      </c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>
        <v>0.0274</v>
      </c>
      <c r="BJ666" s="4">
        <v>152</v>
      </c>
      <c r="BK666" s="8">
        <v>2766.94</v>
      </c>
      <c r="BL666" s="2" t="s">
        <v>2233</v>
      </c>
      <c r="BM666" s="7">
        <v>0.0197</v>
      </c>
      <c r="BN666" s="7">
        <v>0.0208</v>
      </c>
      <c r="BO666" s="4">
        <v>3</v>
      </c>
      <c r="BP666" s="8">
        <v>57.6</v>
      </c>
      <c r="BQ666" s="4"/>
      <c r="BR666" s="8"/>
      <c r="BS666" s="7"/>
      <c r="BT666" s="7"/>
      <c r="BU666" s="2" t="s">
        <v>107</v>
      </c>
      <c r="BV666" s="2" t="s">
        <v>352</v>
      </c>
      <c r="BW666" s="2" t="s">
        <v>2185</v>
      </c>
      <c r="BX666" s="2" t="s">
        <v>1076</v>
      </c>
      <c r="BY666" s="2" t="s">
        <v>111</v>
      </c>
    </row>
    <row r="667">
      <c r="A667" s="2" t="s">
        <v>2234</v>
      </c>
      <c r="B667" s="2" t="s">
        <v>86</v>
      </c>
      <c r="C667" s="2" t="s">
        <v>2106</v>
      </c>
      <c r="D667" s="2" t="s">
        <v>88</v>
      </c>
      <c r="E667" s="2" t="s">
        <v>88</v>
      </c>
      <c r="F667" s="2" t="s">
        <v>2198</v>
      </c>
      <c r="G667" s="2" t="s">
        <v>2199</v>
      </c>
      <c r="H667" s="2" t="s">
        <v>2200</v>
      </c>
      <c r="I667" s="2" t="s">
        <v>2201</v>
      </c>
      <c r="J667" s="2" t="s">
        <v>113</v>
      </c>
      <c r="K667" s="2" t="s">
        <v>2230</v>
      </c>
      <c r="L667" s="3">
        <v>18.9</v>
      </c>
      <c r="M667" s="3">
        <v>19.84</v>
      </c>
      <c r="N667" s="3">
        <v>44.99</v>
      </c>
      <c r="O667" s="2" t="s">
        <v>241</v>
      </c>
      <c r="P667" s="2" t="s">
        <v>215</v>
      </c>
      <c r="Q667" s="2" t="s">
        <v>97</v>
      </c>
      <c r="R667" s="2" t="s">
        <v>98</v>
      </c>
      <c r="S667" s="2" t="s">
        <v>2231</v>
      </c>
      <c r="T667" s="2" t="s">
        <v>1796</v>
      </c>
      <c r="U667" s="2" t="s">
        <v>100</v>
      </c>
      <c r="V667" s="2" t="s">
        <v>617</v>
      </c>
      <c r="W667" s="2" t="s">
        <v>335</v>
      </c>
      <c r="X667" s="2" t="s">
        <v>98</v>
      </c>
      <c r="Y667" s="2" t="s">
        <v>2232</v>
      </c>
      <c r="Z667" s="4"/>
      <c r="AA667" s="4">
        <f>=ROUNDDOWN({0},0)</f>
      </c>
      <c r="AB667" s="5">
        <v>4.5</v>
      </c>
      <c r="AC667" s="2" t="s">
        <v>98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4</v>
      </c>
      <c r="AQ667" s="8">
        <v>86.4</v>
      </c>
      <c r="AR667" s="4"/>
      <c r="AS667" s="8"/>
      <c r="AT667" s="7"/>
      <c r="AU667" s="7"/>
      <c r="AV667" s="4" t="s">
        <v>98</v>
      </c>
      <c r="AW667" s="8" t="s">
        <v>98</v>
      </c>
      <c r="AX667" s="4" t="s">
        <v>98</v>
      </c>
      <c r="AY667" s="8" t="s">
        <v>98</v>
      </c>
      <c r="AZ667" s="7" t="s">
        <v>98</v>
      </c>
      <c r="BA667" s="7" t="s">
        <v>98</v>
      </c>
      <c r="BB667" s="7">
        <v>0.45</v>
      </c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 t="s">
        <v>98</v>
      </c>
      <c r="BJ667" s="4">
        <v>39</v>
      </c>
      <c r="BK667" s="8">
        <v>801.46</v>
      </c>
      <c r="BL667" s="2" t="s">
        <v>2235</v>
      </c>
      <c r="BM667" s="7">
        <v>0.1026</v>
      </c>
      <c r="BN667" s="7">
        <v>0.1078</v>
      </c>
      <c r="BO667" s="4">
        <v>4</v>
      </c>
      <c r="BP667" s="8">
        <v>86.4</v>
      </c>
      <c r="BQ667" s="4"/>
      <c r="BR667" s="8"/>
      <c r="BS667" s="7"/>
      <c r="BT667" s="7"/>
      <c r="BU667" s="2" t="s">
        <v>107</v>
      </c>
      <c r="BV667" s="2" t="s">
        <v>352</v>
      </c>
      <c r="BW667" s="2" t="s">
        <v>2185</v>
      </c>
      <c r="BX667" s="2" t="s">
        <v>2236</v>
      </c>
      <c r="BY667" s="2" t="s">
        <v>111</v>
      </c>
    </row>
    <row r="668">
      <c r="A668" s="2" t="s">
        <v>2237</v>
      </c>
      <c r="B668" s="2" t="s">
        <v>86</v>
      </c>
      <c r="C668" s="2" t="s">
        <v>2106</v>
      </c>
      <c r="D668" s="2" t="s">
        <v>88</v>
      </c>
      <c r="E668" s="2" t="s">
        <v>88</v>
      </c>
      <c r="F668" s="2" t="s">
        <v>2198</v>
      </c>
      <c r="G668" s="2" t="s">
        <v>2199</v>
      </c>
      <c r="H668" s="2" t="s">
        <v>2200</v>
      </c>
      <c r="I668" s="2" t="s">
        <v>2201</v>
      </c>
      <c r="J668" s="2" t="s">
        <v>118</v>
      </c>
      <c r="K668" s="2" t="s">
        <v>2230</v>
      </c>
      <c r="L668" s="3">
        <v>21</v>
      </c>
      <c r="M668" s="3">
        <v>22.05</v>
      </c>
      <c r="N668" s="3">
        <v>49.99</v>
      </c>
      <c r="O668" s="2" t="s">
        <v>95</v>
      </c>
      <c r="P668" s="2" t="s">
        <v>215</v>
      </c>
      <c r="Q668" s="2" t="s">
        <v>97</v>
      </c>
      <c r="R668" s="2" t="s">
        <v>98</v>
      </c>
      <c r="S668" s="2" t="s">
        <v>2231</v>
      </c>
      <c r="T668" s="2" t="s">
        <v>1796</v>
      </c>
      <c r="U668" s="2" t="s">
        <v>100</v>
      </c>
      <c r="V668" s="2" t="s">
        <v>617</v>
      </c>
      <c r="W668" s="2" t="s">
        <v>335</v>
      </c>
      <c r="X668" s="2" t="s">
        <v>98</v>
      </c>
      <c r="Y668" s="2" t="s">
        <v>2232</v>
      </c>
      <c r="Z668" s="4">
        <v>18</v>
      </c>
      <c r="AA668" s="4">
        <f>=ROUNDDOWN(2.72727272727273,0)</f>
      </c>
      <c r="AB668" s="5">
        <v>6.6</v>
      </c>
      <c r="AC668" s="2" t="s">
        <v>98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2</v>
      </c>
      <c r="AQ668" s="8">
        <v>48</v>
      </c>
      <c r="AR668" s="4"/>
      <c r="AS668" s="8"/>
      <c r="AT668" s="7"/>
      <c r="AU668" s="7"/>
      <c r="AV668" s="4" t="s">
        <v>98</v>
      </c>
      <c r="AW668" s="8" t="s">
        <v>98</v>
      </c>
      <c r="AX668" s="4" t="s">
        <v>98</v>
      </c>
      <c r="AY668" s="8" t="s">
        <v>98</v>
      </c>
      <c r="AZ668" s="7" t="s">
        <v>98</v>
      </c>
      <c r="BA668" s="7" t="s">
        <v>98</v>
      </c>
      <c r="BB668" s="7">
        <v>0.25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 t="s">
        <v>98</v>
      </c>
      <c r="BJ668" s="4">
        <v>12</v>
      </c>
      <c r="BK668" s="8">
        <v>269.81</v>
      </c>
      <c r="BL668" s="2" t="s">
        <v>2238</v>
      </c>
      <c r="BM668" s="7">
        <v>0.1667</v>
      </c>
      <c r="BN668" s="7">
        <v>0.1779</v>
      </c>
      <c r="BO668" s="4">
        <v>2</v>
      </c>
      <c r="BP668" s="8">
        <v>48</v>
      </c>
      <c r="BQ668" s="4"/>
      <c r="BR668" s="8"/>
      <c r="BS668" s="7"/>
      <c r="BT668" s="7"/>
      <c r="BU668" s="2" t="s">
        <v>107</v>
      </c>
      <c r="BV668" s="2" t="s">
        <v>108</v>
      </c>
      <c r="BW668" s="2" t="s">
        <v>2185</v>
      </c>
      <c r="BX668" s="2" t="s">
        <v>2188</v>
      </c>
      <c r="BY668" s="2" t="s">
        <v>111</v>
      </c>
    </row>
    <row r="669">
      <c r="A669" s="2" t="s">
        <v>2239</v>
      </c>
      <c r="B669" s="2" t="s">
        <v>86</v>
      </c>
      <c r="C669" s="2" t="s">
        <v>2106</v>
      </c>
      <c r="D669" s="2" t="s">
        <v>88</v>
      </c>
      <c r="E669" s="2" t="s">
        <v>88</v>
      </c>
      <c r="F669" s="2" t="s">
        <v>2240</v>
      </c>
      <c r="G669" s="2" t="s">
        <v>2241</v>
      </c>
      <c r="H669" s="2" t="s">
        <v>2242</v>
      </c>
      <c r="I669" s="2" t="s">
        <v>2243</v>
      </c>
      <c r="J669" s="2" t="s">
        <v>331</v>
      </c>
      <c r="K669" s="2" t="s">
        <v>458</v>
      </c>
      <c r="L669" s="3">
        <v>13.76</v>
      </c>
      <c r="M669" s="3">
        <v>14.45</v>
      </c>
      <c r="N669" s="3">
        <v>31.99</v>
      </c>
      <c r="O669" s="2" t="s">
        <v>368</v>
      </c>
      <c r="P669" s="2" t="s">
        <v>215</v>
      </c>
      <c r="Q669" s="2" t="s">
        <v>97</v>
      </c>
      <c r="R669" s="2" t="s">
        <v>98</v>
      </c>
      <c r="S669" s="2" t="s">
        <v>2244</v>
      </c>
      <c r="T669" s="2" t="s">
        <v>98</v>
      </c>
      <c r="U669" s="2" t="s">
        <v>98</v>
      </c>
      <c r="V669" s="2" t="s">
        <v>101</v>
      </c>
      <c r="W669" s="2" t="s">
        <v>567</v>
      </c>
      <c r="X669" s="2" t="s">
        <v>98</v>
      </c>
      <c r="Y669" s="2" t="s">
        <v>2245</v>
      </c>
      <c r="Z669" s="4"/>
      <c r="AA669" s="4">
        <f>=ROUNDDOWN({0},0)</f>
      </c>
      <c r="AB669" s="5"/>
      <c r="AC669" s="2" t="s">
        <v>98</v>
      </c>
      <c r="AD669" s="4"/>
      <c r="AE669" s="4"/>
      <c r="AF669" s="6">
        <v>65</v>
      </c>
      <c r="AG669" s="6"/>
      <c r="AH669" s="7">
        <v>0.4778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31</v>
      </c>
      <c r="AQ669" s="8">
        <v>223.2</v>
      </c>
      <c r="AR669" s="4">
        <v>35</v>
      </c>
      <c r="AS669" s="8">
        <v>408.1</v>
      </c>
      <c r="AT669" s="7">
        <v>-0.1143</v>
      </c>
      <c r="AU669" s="7">
        <v>-0.4531</v>
      </c>
      <c r="AV669" s="4">
        <v>191</v>
      </c>
      <c r="AW669" s="8">
        <v>2595.7</v>
      </c>
      <c r="AX669" s="4">
        <v>150</v>
      </c>
      <c r="AY669" s="8">
        <v>2068.14</v>
      </c>
      <c r="AZ669" s="7">
        <v>0.2733</v>
      </c>
      <c r="BA669" s="7">
        <v>0.2551</v>
      </c>
      <c r="BB669" s="7">
        <v>0.086</v>
      </c>
      <c r="BC669" s="4">
        <v>424</v>
      </c>
      <c r="BD669" s="8">
        <v>6428.92</v>
      </c>
      <c r="BE669" s="4">
        <v>507</v>
      </c>
      <c r="BF669" s="8">
        <v>7042.25</v>
      </c>
      <c r="BG669" s="7">
        <v>-0.1637</v>
      </c>
      <c r="BH669" s="7">
        <v>-0.0871</v>
      </c>
      <c r="BI669" s="7">
        <v>0.4038</v>
      </c>
      <c r="BJ669" s="4">
        <v>75</v>
      </c>
      <c r="BK669" s="8">
        <v>703.18</v>
      </c>
      <c r="BL669" s="2" t="s">
        <v>655</v>
      </c>
      <c r="BM669" s="7">
        <v>0.4133</v>
      </c>
      <c r="BN669" s="7">
        <v>0.3174</v>
      </c>
      <c r="BO669" s="4">
        <v>31</v>
      </c>
      <c r="BP669" s="8">
        <v>223.2</v>
      </c>
      <c r="BQ669" s="4">
        <v>35</v>
      </c>
      <c r="BR669" s="8">
        <v>408.1</v>
      </c>
      <c r="BS669" s="7">
        <v>-0.1143</v>
      </c>
      <c r="BT669" s="7">
        <v>-0.4531</v>
      </c>
      <c r="BU669" s="2" t="s">
        <v>211</v>
      </c>
      <c r="BV669" s="2" t="s">
        <v>352</v>
      </c>
      <c r="BW669" s="2" t="s">
        <v>2115</v>
      </c>
      <c r="BX669" s="2" t="s">
        <v>2131</v>
      </c>
      <c r="BY669" s="2" t="s">
        <v>354</v>
      </c>
    </row>
    <row r="670">
      <c r="A670" s="2" t="s">
        <v>2246</v>
      </c>
      <c r="B670" s="2" t="s">
        <v>86</v>
      </c>
      <c r="C670" s="2" t="s">
        <v>2106</v>
      </c>
      <c r="D670" s="2" t="s">
        <v>88</v>
      </c>
      <c r="E670" s="2" t="s">
        <v>88</v>
      </c>
      <c r="F670" s="2" t="s">
        <v>2240</v>
      </c>
      <c r="G670" s="2" t="s">
        <v>2241</v>
      </c>
      <c r="H670" s="2" t="s">
        <v>2242</v>
      </c>
      <c r="I670" s="2" t="s">
        <v>2243</v>
      </c>
      <c r="J670" s="2" t="s">
        <v>93</v>
      </c>
      <c r="K670" s="2" t="s">
        <v>458</v>
      </c>
      <c r="L670" s="3">
        <v>16.28</v>
      </c>
      <c r="M670" s="3">
        <v>17.09</v>
      </c>
      <c r="N670" s="3">
        <v>36.99</v>
      </c>
      <c r="O670" s="2" t="s">
        <v>95</v>
      </c>
      <c r="P670" s="2" t="s">
        <v>150</v>
      </c>
      <c r="Q670" s="2" t="s">
        <v>97</v>
      </c>
      <c r="R670" s="2" t="s">
        <v>98</v>
      </c>
      <c r="S670" s="2" t="s">
        <v>2244</v>
      </c>
      <c r="T670" s="2" t="s">
        <v>98</v>
      </c>
      <c r="U670" s="2" t="s">
        <v>98</v>
      </c>
      <c r="V670" s="2" t="s">
        <v>101</v>
      </c>
      <c r="W670" s="2" t="s">
        <v>567</v>
      </c>
      <c r="X670" s="2" t="s">
        <v>2150</v>
      </c>
      <c r="Y670" s="2" t="s">
        <v>2245</v>
      </c>
      <c r="Z670" s="4">
        <v>198</v>
      </c>
      <c r="AA670" s="4">
        <f>=ROUNDDOWN(14.1428571428571,0)</f>
      </c>
      <c r="AB670" s="5">
        <v>14</v>
      </c>
      <c r="AC670" s="2" t="s">
        <v>489</v>
      </c>
      <c r="AD670" s="4">
        <v>76</v>
      </c>
      <c r="AE670" s="4">
        <v>280</v>
      </c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31</v>
      </c>
      <c r="AQ670" s="8">
        <v>582.18</v>
      </c>
      <c r="AR670" s="4">
        <v>39</v>
      </c>
      <c r="AS670" s="8">
        <v>546</v>
      </c>
      <c r="AT670" s="7">
        <v>-0.2051</v>
      </c>
      <c r="AU670" s="7">
        <v>0.0663</v>
      </c>
      <c r="AV670" s="4" t="s">
        <v>98</v>
      </c>
      <c r="AW670" s="8" t="s">
        <v>98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>
        <v>0.2243</v>
      </c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 t="s">
        <v>98</v>
      </c>
      <c r="BJ670" s="4">
        <v>237</v>
      </c>
      <c r="BK670" s="8">
        <v>4038.38</v>
      </c>
      <c r="BL670" s="2" t="s">
        <v>2247</v>
      </c>
      <c r="BM670" s="7">
        <v>0.1308</v>
      </c>
      <c r="BN670" s="7">
        <v>0.1442</v>
      </c>
      <c r="BO670" s="4">
        <v>31</v>
      </c>
      <c r="BP670" s="8">
        <v>582.18</v>
      </c>
      <c r="BQ670" s="4">
        <v>39</v>
      </c>
      <c r="BR670" s="8">
        <v>546</v>
      </c>
      <c r="BS670" s="7">
        <v>-0.2051</v>
      </c>
      <c r="BT670" s="7">
        <v>0.0663</v>
      </c>
      <c r="BU670" s="2" t="s">
        <v>107</v>
      </c>
      <c r="BV670" s="2" t="s">
        <v>108</v>
      </c>
      <c r="BW670" s="2" t="s">
        <v>2115</v>
      </c>
      <c r="BX670" s="2" t="s">
        <v>2131</v>
      </c>
      <c r="BY670" s="2" t="s">
        <v>111</v>
      </c>
    </row>
    <row r="671">
      <c r="A671" s="2" t="s">
        <v>2248</v>
      </c>
      <c r="B671" s="2" t="s">
        <v>86</v>
      </c>
      <c r="C671" s="2" t="s">
        <v>2106</v>
      </c>
      <c r="D671" s="2" t="s">
        <v>88</v>
      </c>
      <c r="E671" s="2" t="s">
        <v>88</v>
      </c>
      <c r="F671" s="2" t="s">
        <v>2240</v>
      </c>
      <c r="G671" s="2" t="s">
        <v>2241</v>
      </c>
      <c r="H671" s="2" t="s">
        <v>2242</v>
      </c>
      <c r="I671" s="2" t="s">
        <v>2243</v>
      </c>
      <c r="J671" s="2" t="s">
        <v>113</v>
      </c>
      <c r="K671" s="2" t="s">
        <v>458</v>
      </c>
      <c r="L671" s="3">
        <v>18</v>
      </c>
      <c r="M671" s="3">
        <v>18.9</v>
      </c>
      <c r="N671" s="3">
        <v>39.99</v>
      </c>
      <c r="O671" s="2" t="s">
        <v>368</v>
      </c>
      <c r="P671" s="2" t="s">
        <v>215</v>
      </c>
      <c r="Q671" s="2" t="s">
        <v>97</v>
      </c>
      <c r="R671" s="2" t="s">
        <v>98</v>
      </c>
      <c r="S671" s="2" t="s">
        <v>2244</v>
      </c>
      <c r="T671" s="2" t="s">
        <v>98</v>
      </c>
      <c r="U671" s="2" t="s">
        <v>98</v>
      </c>
      <c r="V671" s="2" t="s">
        <v>101</v>
      </c>
      <c r="W671" s="2" t="s">
        <v>567</v>
      </c>
      <c r="X671" s="2" t="s">
        <v>98</v>
      </c>
      <c r="Y671" s="2" t="s">
        <v>2245</v>
      </c>
      <c r="Z671" s="4">
        <v>5</v>
      </c>
      <c r="AA671" s="4">
        <f>=ROUNDDOWN({0},0)</f>
      </c>
      <c r="AB671" s="5"/>
      <c r="AC671" s="2" t="s">
        <v>98</v>
      </c>
      <c r="AD671" s="4"/>
      <c r="AE671" s="4"/>
      <c r="AF671" s="6">
        <v>65</v>
      </c>
      <c r="AG671" s="6"/>
      <c r="AH671" s="7">
        <v>1</v>
      </c>
      <c r="AI671" s="4">
        <v>1</v>
      </c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94</v>
      </c>
      <c r="AQ671" s="8">
        <v>995.46</v>
      </c>
      <c r="AR671" s="4">
        <v>16</v>
      </c>
      <c r="AS671" s="8">
        <v>249.92</v>
      </c>
      <c r="AT671" s="7">
        <v>4.875</v>
      </c>
      <c r="AU671" s="7">
        <v>2.9831</v>
      </c>
      <c r="AV671" s="4" t="s">
        <v>98</v>
      </c>
      <c r="AW671" s="8" t="s">
        <v>98</v>
      </c>
      <c r="AX671" s="4" t="s">
        <v>98</v>
      </c>
      <c r="AY671" s="8" t="s">
        <v>98</v>
      </c>
      <c r="AZ671" s="7" t="s">
        <v>98</v>
      </c>
      <c r="BA671" s="7" t="s">
        <v>98</v>
      </c>
      <c r="BB671" s="7">
        <v>0.3835</v>
      </c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 t="s">
        <v>98</v>
      </c>
      <c r="BJ671" s="4">
        <v>204</v>
      </c>
      <c r="BK671" s="8">
        <v>2528.94</v>
      </c>
      <c r="BL671" s="2" t="s">
        <v>904</v>
      </c>
      <c r="BM671" s="7">
        <v>0.4608</v>
      </c>
      <c r="BN671" s="7">
        <v>0.3936</v>
      </c>
      <c r="BO671" s="4">
        <v>94</v>
      </c>
      <c r="BP671" s="8">
        <v>995.46</v>
      </c>
      <c r="BQ671" s="4">
        <v>16</v>
      </c>
      <c r="BR671" s="8">
        <v>249.92</v>
      </c>
      <c r="BS671" s="7">
        <v>4.875</v>
      </c>
      <c r="BT671" s="7">
        <v>2.9831</v>
      </c>
      <c r="BU671" s="2" t="s">
        <v>211</v>
      </c>
      <c r="BV671" s="2" t="s">
        <v>352</v>
      </c>
      <c r="BW671" s="2" t="s">
        <v>2115</v>
      </c>
      <c r="BX671" s="2" t="s">
        <v>2249</v>
      </c>
      <c r="BY671" s="2" t="s">
        <v>354</v>
      </c>
    </row>
    <row r="672">
      <c r="A672" s="2" t="s">
        <v>2250</v>
      </c>
      <c r="B672" s="2" t="s">
        <v>86</v>
      </c>
      <c r="C672" s="2" t="s">
        <v>2106</v>
      </c>
      <c r="D672" s="2" t="s">
        <v>88</v>
      </c>
      <c r="E672" s="2" t="s">
        <v>88</v>
      </c>
      <c r="F672" s="2" t="s">
        <v>2240</v>
      </c>
      <c r="G672" s="2" t="s">
        <v>2241</v>
      </c>
      <c r="H672" s="2" t="s">
        <v>2242</v>
      </c>
      <c r="I672" s="2" t="s">
        <v>2243</v>
      </c>
      <c r="J672" s="2" t="s">
        <v>2251</v>
      </c>
      <c r="K672" s="2" t="s">
        <v>458</v>
      </c>
      <c r="L672" s="3">
        <v>12.76</v>
      </c>
      <c r="M672" s="3">
        <v>13.4</v>
      </c>
      <c r="N672" s="3">
        <v>28.99</v>
      </c>
      <c r="O672" s="2" t="s">
        <v>95</v>
      </c>
      <c r="P672" s="2" t="s">
        <v>150</v>
      </c>
      <c r="Q672" s="2" t="s">
        <v>97</v>
      </c>
      <c r="R672" s="2" t="s">
        <v>98</v>
      </c>
      <c r="S672" s="2" t="s">
        <v>2244</v>
      </c>
      <c r="T672" s="2" t="s">
        <v>98</v>
      </c>
      <c r="U672" s="2" t="s">
        <v>98</v>
      </c>
      <c r="V672" s="2" t="s">
        <v>101</v>
      </c>
      <c r="W672" s="2" t="s">
        <v>567</v>
      </c>
      <c r="X672" s="2" t="s">
        <v>2150</v>
      </c>
      <c r="Y672" s="2" t="s">
        <v>2245</v>
      </c>
      <c r="Z672" s="4">
        <v>155</v>
      </c>
      <c r="AA672" s="4">
        <f>=ROUNDDOWN(11.9230769230769,0)</f>
      </c>
      <c r="AB672" s="5">
        <v>13</v>
      </c>
      <c r="AC672" s="2" t="s">
        <v>489</v>
      </c>
      <c r="AD672" s="4">
        <v>168</v>
      </c>
      <c r="AE672" s="4">
        <v>296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16</v>
      </c>
      <c r="AQ672" s="8">
        <v>230.56</v>
      </c>
      <c r="AR672" s="4">
        <v>42</v>
      </c>
      <c r="AS672" s="8">
        <v>450.66</v>
      </c>
      <c r="AT672" s="7">
        <v>-0.619</v>
      </c>
      <c r="AU672" s="7">
        <v>-0.4884</v>
      </c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>
        <v>0.0888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 t="s">
        <v>98</v>
      </c>
      <c r="BJ672" s="4">
        <v>110</v>
      </c>
      <c r="BK672" s="8">
        <v>1501.38</v>
      </c>
      <c r="BL672" s="2" t="s">
        <v>2252</v>
      </c>
      <c r="BM672" s="7">
        <v>0.1455</v>
      </c>
      <c r="BN672" s="7">
        <v>0.1536</v>
      </c>
      <c r="BO672" s="4">
        <v>16</v>
      </c>
      <c r="BP672" s="8">
        <v>230.56</v>
      </c>
      <c r="BQ672" s="4">
        <v>42</v>
      </c>
      <c r="BR672" s="8">
        <v>450.66</v>
      </c>
      <c r="BS672" s="7">
        <v>-0.619</v>
      </c>
      <c r="BT672" s="7">
        <v>-0.4884</v>
      </c>
      <c r="BU672" s="2" t="s">
        <v>107</v>
      </c>
      <c r="BV672" s="2" t="s">
        <v>108</v>
      </c>
      <c r="BW672" s="2" t="s">
        <v>2115</v>
      </c>
      <c r="BX672" s="2" t="s">
        <v>384</v>
      </c>
      <c r="BY672" s="2" t="s">
        <v>111</v>
      </c>
    </row>
    <row r="673">
      <c r="A673" s="2" t="s">
        <v>2253</v>
      </c>
      <c r="B673" s="2" t="s">
        <v>86</v>
      </c>
      <c r="C673" s="2" t="s">
        <v>2106</v>
      </c>
      <c r="D673" s="2" t="s">
        <v>88</v>
      </c>
      <c r="E673" s="2" t="s">
        <v>88</v>
      </c>
      <c r="F673" s="2" t="s">
        <v>2240</v>
      </c>
      <c r="G673" s="2" t="s">
        <v>2241</v>
      </c>
      <c r="H673" s="2" t="s">
        <v>2242</v>
      </c>
      <c r="I673" s="2" t="s">
        <v>2254</v>
      </c>
      <c r="J673" s="2" t="s">
        <v>2255</v>
      </c>
      <c r="K673" s="2" t="s">
        <v>458</v>
      </c>
      <c r="L673" s="3">
        <v>25.85</v>
      </c>
      <c r="M673" s="3">
        <v>27.14</v>
      </c>
      <c r="N673" s="3">
        <v>54.99</v>
      </c>
      <c r="O673" s="2" t="s">
        <v>95</v>
      </c>
      <c r="P673" s="2" t="s">
        <v>150</v>
      </c>
      <c r="Q673" s="2" t="s">
        <v>97</v>
      </c>
      <c r="R673" s="2" t="s">
        <v>98</v>
      </c>
      <c r="S673" s="2" t="s">
        <v>2244</v>
      </c>
      <c r="T673" s="2" t="s">
        <v>98</v>
      </c>
      <c r="U673" s="2" t="s">
        <v>100</v>
      </c>
      <c r="V673" s="2" t="s">
        <v>101</v>
      </c>
      <c r="W673" s="2" t="s">
        <v>567</v>
      </c>
      <c r="X673" s="2" t="s">
        <v>2150</v>
      </c>
      <c r="Y673" s="2" t="s">
        <v>2151</v>
      </c>
      <c r="Z673" s="4">
        <v>119</v>
      </c>
      <c r="AA673" s="4">
        <f>=ROUNDDOWN(8.15068493150685,0)</f>
      </c>
      <c r="AB673" s="5">
        <v>14.6</v>
      </c>
      <c r="AC673" s="2" t="s">
        <v>489</v>
      </c>
      <c r="AD673" s="4">
        <v>284</v>
      </c>
      <c r="AE673" s="4">
        <v>432</v>
      </c>
      <c r="AF673" s="6">
        <v>65</v>
      </c>
      <c r="AG673" s="6"/>
      <c r="AH673" s="7">
        <v>0.7556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19</v>
      </c>
      <c r="AQ673" s="8">
        <v>564.3</v>
      </c>
      <c r="AR673" s="4">
        <v>18</v>
      </c>
      <c r="AS673" s="8">
        <v>413.46</v>
      </c>
      <c r="AT673" s="7">
        <v>0.0556</v>
      </c>
      <c r="AU673" s="7">
        <v>0.3648</v>
      </c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>
        <v>0.2174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 t="s">
        <v>98</v>
      </c>
      <c r="BJ673" s="4">
        <v>171</v>
      </c>
      <c r="BK673" s="8">
        <v>4844.93</v>
      </c>
      <c r="BL673" s="2" t="s">
        <v>2256</v>
      </c>
      <c r="BM673" s="7">
        <v>0.1111</v>
      </c>
      <c r="BN673" s="7">
        <v>0.1165</v>
      </c>
      <c r="BO673" s="4">
        <v>19</v>
      </c>
      <c r="BP673" s="8">
        <v>564.3</v>
      </c>
      <c r="BQ673" s="4">
        <v>18</v>
      </c>
      <c r="BR673" s="8">
        <v>413.46</v>
      </c>
      <c r="BS673" s="7">
        <v>0.0556</v>
      </c>
      <c r="BT673" s="7">
        <v>0.3648</v>
      </c>
      <c r="BU673" s="2" t="s">
        <v>107</v>
      </c>
      <c r="BV673" s="2" t="s">
        <v>108</v>
      </c>
      <c r="BW673" s="2" t="s">
        <v>2083</v>
      </c>
      <c r="BX673" s="2" t="s">
        <v>2257</v>
      </c>
      <c r="BY673" s="2" t="s">
        <v>111</v>
      </c>
    </row>
    <row r="674">
      <c r="A674" s="2" t="s">
        <v>2258</v>
      </c>
      <c r="B674" s="2" t="s">
        <v>86</v>
      </c>
      <c r="C674" s="2" t="s">
        <v>2106</v>
      </c>
      <c r="D674" s="2" t="s">
        <v>88</v>
      </c>
      <c r="E674" s="2" t="s">
        <v>88</v>
      </c>
      <c r="F674" s="2" t="s">
        <v>2240</v>
      </c>
      <c r="G674" s="2" t="s">
        <v>2241</v>
      </c>
      <c r="H674" s="2" t="s">
        <v>2242</v>
      </c>
      <c r="I674" s="2" t="s">
        <v>2243</v>
      </c>
      <c r="J674" s="2" t="s">
        <v>331</v>
      </c>
      <c r="K674" s="2" t="s">
        <v>997</v>
      </c>
      <c r="L674" s="3">
        <v>13.76</v>
      </c>
      <c r="M674" s="3">
        <v>14.45</v>
      </c>
      <c r="N674" s="3">
        <v>31.99</v>
      </c>
      <c r="O674" s="2" t="s">
        <v>368</v>
      </c>
      <c r="P674" s="2" t="s">
        <v>215</v>
      </c>
      <c r="Q674" s="2" t="s">
        <v>97</v>
      </c>
      <c r="R674" s="2" t="s">
        <v>98</v>
      </c>
      <c r="S674" s="2" t="s">
        <v>2259</v>
      </c>
      <c r="T674" s="2" t="s">
        <v>98</v>
      </c>
      <c r="U674" s="2" t="s">
        <v>98</v>
      </c>
      <c r="V674" s="2" t="s">
        <v>101</v>
      </c>
      <c r="W674" s="2" t="s">
        <v>567</v>
      </c>
      <c r="X674" s="2" t="s">
        <v>98</v>
      </c>
      <c r="Y674" s="2" t="s">
        <v>2245</v>
      </c>
      <c r="Z674" s="4"/>
      <c r="AA674" s="4">
        <f>=ROUNDDOWN({0},0)</f>
      </c>
      <c r="AB674" s="5">
        <v>8.4</v>
      </c>
      <c r="AC674" s="2" t="s">
        <v>98</v>
      </c>
      <c r="AD674" s="4"/>
      <c r="AE674" s="4"/>
      <c r="AF674" s="6">
        <v>65</v>
      </c>
      <c r="AG674" s="6"/>
      <c r="AH674" s="7">
        <v>0.5444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45</v>
      </c>
      <c r="AQ674" s="8">
        <v>324</v>
      </c>
      <c r="AR674" s="4">
        <v>31</v>
      </c>
      <c r="AS674" s="8">
        <v>361.46</v>
      </c>
      <c r="AT674" s="7">
        <v>0.4516</v>
      </c>
      <c r="AU674" s="7">
        <v>-0.1036</v>
      </c>
      <c r="AV674" s="4">
        <v>150</v>
      </c>
      <c r="AW674" s="8">
        <v>2424.97</v>
      </c>
      <c r="AX674" s="4">
        <v>90</v>
      </c>
      <c r="AY674" s="8">
        <v>1213.23</v>
      </c>
      <c r="AZ674" s="7">
        <v>0.6667</v>
      </c>
      <c r="BA674" s="7">
        <v>0.9988</v>
      </c>
      <c r="BB674" s="7">
        <v>0.1336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0.3772</v>
      </c>
      <c r="BJ674" s="4">
        <v>59</v>
      </c>
      <c r="BK674" s="8">
        <v>467.4</v>
      </c>
      <c r="BL674" s="2" t="s">
        <v>2260</v>
      </c>
      <c r="BM674" s="7">
        <v>0.7627</v>
      </c>
      <c r="BN674" s="7">
        <v>0.6932</v>
      </c>
      <c r="BO674" s="4">
        <v>45</v>
      </c>
      <c r="BP674" s="8">
        <v>324</v>
      </c>
      <c r="BQ674" s="4">
        <v>31</v>
      </c>
      <c r="BR674" s="8">
        <v>361.46</v>
      </c>
      <c r="BS674" s="7">
        <v>0.4516</v>
      </c>
      <c r="BT674" s="7">
        <v>-0.1036</v>
      </c>
      <c r="BU674" s="2" t="s">
        <v>211</v>
      </c>
      <c r="BV674" s="2" t="s">
        <v>352</v>
      </c>
      <c r="BW674" s="2" t="s">
        <v>2115</v>
      </c>
      <c r="BX674" s="2" t="s">
        <v>2261</v>
      </c>
      <c r="BY674" s="2" t="s">
        <v>354</v>
      </c>
    </row>
    <row r="675">
      <c r="A675" s="2" t="s">
        <v>2262</v>
      </c>
      <c r="B675" s="2" t="s">
        <v>86</v>
      </c>
      <c r="C675" s="2" t="s">
        <v>2106</v>
      </c>
      <c r="D675" s="2" t="s">
        <v>88</v>
      </c>
      <c r="E675" s="2" t="s">
        <v>88</v>
      </c>
      <c r="F675" s="2" t="s">
        <v>2240</v>
      </c>
      <c r="G675" s="2" t="s">
        <v>2241</v>
      </c>
      <c r="H675" s="2" t="s">
        <v>2242</v>
      </c>
      <c r="I675" s="2" t="s">
        <v>2243</v>
      </c>
      <c r="J675" s="2" t="s">
        <v>93</v>
      </c>
      <c r="K675" s="2" t="s">
        <v>997</v>
      </c>
      <c r="L675" s="3">
        <v>16.28</v>
      </c>
      <c r="M675" s="3">
        <v>17.09</v>
      </c>
      <c r="N675" s="3">
        <v>36.99</v>
      </c>
      <c r="O675" s="2" t="s">
        <v>95</v>
      </c>
      <c r="P675" s="2" t="s">
        <v>150</v>
      </c>
      <c r="Q675" s="2" t="s">
        <v>97</v>
      </c>
      <c r="R675" s="2" t="s">
        <v>98</v>
      </c>
      <c r="S675" s="2" t="s">
        <v>2259</v>
      </c>
      <c r="T675" s="2" t="s">
        <v>98</v>
      </c>
      <c r="U675" s="2" t="s">
        <v>98</v>
      </c>
      <c r="V675" s="2" t="s">
        <v>101</v>
      </c>
      <c r="W675" s="2" t="s">
        <v>567</v>
      </c>
      <c r="X675" s="2" t="s">
        <v>2150</v>
      </c>
      <c r="Y675" s="2" t="s">
        <v>2245</v>
      </c>
      <c r="Z675" s="4">
        <v>193</v>
      </c>
      <c r="AA675" s="4">
        <f>=ROUNDDOWN(14.8461538461538,0)</f>
      </c>
      <c r="AB675" s="5">
        <v>13</v>
      </c>
      <c r="AC675" s="2" t="s">
        <v>309</v>
      </c>
      <c r="AD675" s="4">
        <v>384</v>
      </c>
      <c r="AE675" s="4">
        <v>384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32</v>
      </c>
      <c r="AQ675" s="8">
        <v>600.96</v>
      </c>
      <c r="AR675" s="4">
        <v>10</v>
      </c>
      <c r="AS675" s="8">
        <v>140</v>
      </c>
      <c r="AT675" s="7">
        <v>2.2</v>
      </c>
      <c r="AU675" s="7">
        <v>3.2926</v>
      </c>
      <c r="AV675" s="4" t="s">
        <v>98</v>
      </c>
      <c r="AW675" s="8" t="s">
        <v>98</v>
      </c>
      <c r="AX675" s="4" t="s">
        <v>98</v>
      </c>
      <c r="AY675" s="8" t="s">
        <v>98</v>
      </c>
      <c r="AZ675" s="7" t="s">
        <v>98</v>
      </c>
      <c r="BA675" s="7" t="s">
        <v>98</v>
      </c>
      <c r="BB675" s="7">
        <v>0.2478</v>
      </c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 t="s">
        <v>98</v>
      </c>
      <c r="BJ675" s="4">
        <v>174</v>
      </c>
      <c r="BK675" s="8">
        <v>3017.61</v>
      </c>
      <c r="BL675" s="2" t="s">
        <v>2263</v>
      </c>
      <c r="BM675" s="7">
        <v>0.1839</v>
      </c>
      <c r="BN675" s="7">
        <v>0.1992</v>
      </c>
      <c r="BO675" s="4">
        <v>32</v>
      </c>
      <c r="BP675" s="8">
        <v>600.96</v>
      </c>
      <c r="BQ675" s="4">
        <v>10</v>
      </c>
      <c r="BR675" s="8">
        <v>140</v>
      </c>
      <c r="BS675" s="7">
        <v>2.2</v>
      </c>
      <c r="BT675" s="7">
        <v>3.2926</v>
      </c>
      <c r="BU675" s="2" t="s">
        <v>107</v>
      </c>
      <c r="BV675" s="2" t="s">
        <v>108</v>
      </c>
      <c r="BW675" s="2" t="s">
        <v>2115</v>
      </c>
      <c r="BX675" s="2" t="s">
        <v>2264</v>
      </c>
      <c r="BY675" s="2" t="s">
        <v>111</v>
      </c>
    </row>
    <row r="676">
      <c r="A676" s="2" t="s">
        <v>2265</v>
      </c>
      <c r="B676" s="2" t="s">
        <v>86</v>
      </c>
      <c r="C676" s="2" t="s">
        <v>2106</v>
      </c>
      <c r="D676" s="2" t="s">
        <v>88</v>
      </c>
      <c r="E676" s="2" t="s">
        <v>88</v>
      </c>
      <c r="F676" s="2" t="s">
        <v>2240</v>
      </c>
      <c r="G676" s="2" t="s">
        <v>2241</v>
      </c>
      <c r="H676" s="2" t="s">
        <v>2242</v>
      </c>
      <c r="I676" s="2" t="s">
        <v>2243</v>
      </c>
      <c r="J676" s="2" t="s">
        <v>113</v>
      </c>
      <c r="K676" s="2" t="s">
        <v>997</v>
      </c>
      <c r="L676" s="3">
        <v>18</v>
      </c>
      <c r="M676" s="3">
        <v>18.9</v>
      </c>
      <c r="N676" s="3">
        <v>39.99</v>
      </c>
      <c r="O676" s="2" t="s">
        <v>95</v>
      </c>
      <c r="P676" s="2" t="s">
        <v>465</v>
      </c>
      <c r="Q676" s="2" t="s">
        <v>97</v>
      </c>
      <c r="R676" s="2" t="s">
        <v>98</v>
      </c>
      <c r="S676" s="2" t="s">
        <v>2259</v>
      </c>
      <c r="T676" s="2" t="s">
        <v>98</v>
      </c>
      <c r="U676" s="2" t="s">
        <v>98</v>
      </c>
      <c r="V676" s="2" t="s">
        <v>101</v>
      </c>
      <c r="W676" s="2" t="s">
        <v>567</v>
      </c>
      <c r="X676" s="2" t="s">
        <v>98</v>
      </c>
      <c r="Y676" s="2" t="s">
        <v>2245</v>
      </c>
      <c r="Z676" s="4">
        <v>4</v>
      </c>
      <c r="AA676" s="4">
        <f>=ROUNDDOWN(0.701754385964912,0)</f>
      </c>
      <c r="AB676" s="5">
        <v>5.7</v>
      </c>
      <c r="AC676" s="2" t="s">
        <v>98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12</v>
      </c>
      <c r="AQ676" s="8">
        <v>254.04</v>
      </c>
      <c r="AR676" s="4">
        <v>8</v>
      </c>
      <c r="AS676" s="8">
        <v>124.96</v>
      </c>
      <c r="AT676" s="7">
        <v>0.5</v>
      </c>
      <c r="AU676" s="7">
        <v>1.033</v>
      </c>
      <c r="AV676" s="4" t="s">
        <v>98</v>
      </c>
      <c r="AW676" s="8" t="s">
        <v>98</v>
      </c>
      <c r="AX676" s="4" t="s">
        <v>98</v>
      </c>
      <c r="AY676" s="8" t="s">
        <v>98</v>
      </c>
      <c r="AZ676" s="7" t="s">
        <v>98</v>
      </c>
      <c r="BA676" s="7" t="s">
        <v>98</v>
      </c>
      <c r="BB676" s="7">
        <v>0.1048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 t="s">
        <v>98</v>
      </c>
      <c r="BJ676" s="4">
        <v>111</v>
      </c>
      <c r="BK676" s="8">
        <v>2129.51</v>
      </c>
      <c r="BL676" s="2" t="s">
        <v>959</v>
      </c>
      <c r="BM676" s="7">
        <v>0.1081</v>
      </c>
      <c r="BN676" s="7">
        <v>0.1193</v>
      </c>
      <c r="BO676" s="4">
        <v>12</v>
      </c>
      <c r="BP676" s="8">
        <v>254.04</v>
      </c>
      <c r="BQ676" s="4">
        <v>8</v>
      </c>
      <c r="BR676" s="8">
        <v>124.96</v>
      </c>
      <c r="BS676" s="7">
        <v>0.5</v>
      </c>
      <c r="BT676" s="7">
        <v>1.033</v>
      </c>
      <c r="BU676" s="2" t="s">
        <v>211</v>
      </c>
      <c r="BV676" s="2" t="s">
        <v>95</v>
      </c>
      <c r="BW676" s="2" t="s">
        <v>2115</v>
      </c>
      <c r="BX676" s="2" t="s">
        <v>2249</v>
      </c>
      <c r="BY676" s="2" t="s">
        <v>111</v>
      </c>
    </row>
    <row r="677">
      <c r="A677" s="2" t="s">
        <v>2266</v>
      </c>
      <c r="B677" s="2" t="s">
        <v>86</v>
      </c>
      <c r="C677" s="2" t="s">
        <v>2106</v>
      </c>
      <c r="D677" s="2" t="s">
        <v>88</v>
      </c>
      <c r="E677" s="2" t="s">
        <v>88</v>
      </c>
      <c r="F677" s="2" t="s">
        <v>2240</v>
      </c>
      <c r="G677" s="2" t="s">
        <v>2241</v>
      </c>
      <c r="H677" s="2" t="s">
        <v>2242</v>
      </c>
      <c r="I677" s="2" t="s">
        <v>2243</v>
      </c>
      <c r="J677" s="2" t="s">
        <v>2251</v>
      </c>
      <c r="K677" s="2" t="s">
        <v>997</v>
      </c>
      <c r="L677" s="3">
        <v>12.76</v>
      </c>
      <c r="M677" s="3">
        <v>13.4</v>
      </c>
      <c r="N677" s="3">
        <v>28.99</v>
      </c>
      <c r="O677" s="2" t="s">
        <v>95</v>
      </c>
      <c r="P677" s="2" t="s">
        <v>150</v>
      </c>
      <c r="Q677" s="2" t="s">
        <v>97</v>
      </c>
      <c r="R677" s="2" t="s">
        <v>98</v>
      </c>
      <c r="S677" s="2" t="s">
        <v>2259</v>
      </c>
      <c r="T677" s="2" t="s">
        <v>98</v>
      </c>
      <c r="U677" s="2" t="s">
        <v>98</v>
      </c>
      <c r="V677" s="2" t="s">
        <v>101</v>
      </c>
      <c r="W677" s="2" t="s">
        <v>567</v>
      </c>
      <c r="X677" s="2" t="s">
        <v>2150</v>
      </c>
      <c r="Y677" s="2" t="s">
        <v>2245</v>
      </c>
      <c r="Z677" s="4">
        <v>499</v>
      </c>
      <c r="AA677" s="4">
        <f>=ROUNDDOWN(38.3846153846154,0)</f>
      </c>
      <c r="AB677" s="5">
        <v>13</v>
      </c>
      <c r="AC677" s="2" t="s">
        <v>2113</v>
      </c>
      <c r="AD677" s="4">
        <v>276</v>
      </c>
      <c r="AE677" s="4">
        <v>276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37</v>
      </c>
      <c r="AQ677" s="8">
        <v>533.17</v>
      </c>
      <c r="AR677" s="4">
        <v>29</v>
      </c>
      <c r="AS677" s="8">
        <v>311.17</v>
      </c>
      <c r="AT677" s="7">
        <v>0.2759</v>
      </c>
      <c r="AU677" s="7">
        <v>0.7134</v>
      </c>
      <c r="AV677" s="4" t="s">
        <v>98</v>
      </c>
      <c r="AW677" s="8" t="s">
        <v>98</v>
      </c>
      <c r="AX677" s="4" t="s">
        <v>98</v>
      </c>
      <c r="AY677" s="8" t="s">
        <v>98</v>
      </c>
      <c r="AZ677" s="7" t="s">
        <v>98</v>
      </c>
      <c r="BA677" s="7" t="s">
        <v>98</v>
      </c>
      <c r="BB677" s="7">
        <v>0.2199</v>
      </c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 t="s">
        <v>98</v>
      </c>
      <c r="BJ677" s="4">
        <v>161</v>
      </c>
      <c r="BK677" s="8">
        <v>2183.31</v>
      </c>
      <c r="BL677" s="2" t="s">
        <v>395</v>
      </c>
      <c r="BM677" s="7">
        <v>0.2298</v>
      </c>
      <c r="BN677" s="7">
        <v>0.2442</v>
      </c>
      <c r="BO677" s="4">
        <v>37</v>
      </c>
      <c r="BP677" s="8">
        <v>533.17</v>
      </c>
      <c r="BQ677" s="4">
        <v>29</v>
      </c>
      <c r="BR677" s="8">
        <v>311.17</v>
      </c>
      <c r="BS677" s="7">
        <v>0.2759</v>
      </c>
      <c r="BT677" s="7">
        <v>0.7134</v>
      </c>
      <c r="BU677" s="2" t="s">
        <v>107</v>
      </c>
      <c r="BV677" s="2" t="s">
        <v>108</v>
      </c>
      <c r="BW677" s="2" t="s">
        <v>2115</v>
      </c>
      <c r="BX677" s="2" t="s">
        <v>1620</v>
      </c>
      <c r="BY677" s="2" t="s">
        <v>111</v>
      </c>
    </row>
    <row r="678">
      <c r="A678" s="2" t="s">
        <v>2267</v>
      </c>
      <c r="B678" s="2" t="s">
        <v>86</v>
      </c>
      <c r="C678" s="2" t="s">
        <v>2106</v>
      </c>
      <c r="D678" s="2" t="s">
        <v>88</v>
      </c>
      <c r="E678" s="2" t="s">
        <v>88</v>
      </c>
      <c r="F678" s="2" t="s">
        <v>2240</v>
      </c>
      <c r="G678" s="2" t="s">
        <v>2241</v>
      </c>
      <c r="H678" s="2" t="s">
        <v>2242</v>
      </c>
      <c r="I678" s="2" t="s">
        <v>2254</v>
      </c>
      <c r="J678" s="2" t="s">
        <v>2255</v>
      </c>
      <c r="K678" s="2" t="s">
        <v>997</v>
      </c>
      <c r="L678" s="3">
        <v>25.85</v>
      </c>
      <c r="M678" s="3">
        <v>27.14</v>
      </c>
      <c r="N678" s="3">
        <v>54.99</v>
      </c>
      <c r="O678" s="2" t="s">
        <v>95</v>
      </c>
      <c r="P678" s="2" t="s">
        <v>129</v>
      </c>
      <c r="Q678" s="2" t="s">
        <v>97</v>
      </c>
      <c r="R678" s="2" t="s">
        <v>98</v>
      </c>
      <c r="S678" s="2" t="s">
        <v>2259</v>
      </c>
      <c r="T678" s="2" t="s">
        <v>98</v>
      </c>
      <c r="U678" s="2" t="s">
        <v>100</v>
      </c>
      <c r="V678" s="2" t="s">
        <v>101</v>
      </c>
      <c r="W678" s="2" t="s">
        <v>567</v>
      </c>
      <c r="X678" s="2" t="s">
        <v>2150</v>
      </c>
      <c r="Y678" s="2" t="s">
        <v>2151</v>
      </c>
      <c r="Z678" s="4">
        <v>532</v>
      </c>
      <c r="AA678" s="4">
        <f>=ROUNDDOWN(16.1212121212121,0)</f>
      </c>
      <c r="AB678" s="5">
        <v>33</v>
      </c>
      <c r="AC678" s="2" t="s">
        <v>2113</v>
      </c>
      <c r="AD678" s="4">
        <v>472</v>
      </c>
      <c r="AE678" s="4">
        <v>956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24</v>
      </c>
      <c r="AQ678" s="8">
        <v>712.8</v>
      </c>
      <c r="AR678" s="4">
        <v>12</v>
      </c>
      <c r="AS678" s="8">
        <v>275.64</v>
      </c>
      <c r="AT678" s="7">
        <v>1</v>
      </c>
      <c r="AU678" s="7">
        <v>1.586</v>
      </c>
      <c r="AV678" s="4" t="s">
        <v>98</v>
      </c>
      <c r="AW678" s="8" t="s">
        <v>98</v>
      </c>
      <c r="AX678" s="4" t="s">
        <v>98</v>
      </c>
      <c r="AY678" s="8" t="s">
        <v>98</v>
      </c>
      <c r="AZ678" s="7" t="s">
        <v>98</v>
      </c>
      <c r="BA678" s="7" t="s">
        <v>98</v>
      </c>
      <c r="BB678" s="7">
        <v>0.2939</v>
      </c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 t="s">
        <v>98</v>
      </c>
      <c r="BJ678" s="4">
        <v>302</v>
      </c>
      <c r="BK678" s="8">
        <v>8571.44</v>
      </c>
      <c r="BL678" s="2" t="s">
        <v>2268</v>
      </c>
      <c r="BM678" s="7">
        <v>0.0795</v>
      </c>
      <c r="BN678" s="7">
        <v>0.0832</v>
      </c>
      <c r="BO678" s="4">
        <v>24</v>
      </c>
      <c r="BP678" s="8">
        <v>712.8</v>
      </c>
      <c r="BQ678" s="4">
        <v>12</v>
      </c>
      <c r="BR678" s="8">
        <v>275.64</v>
      </c>
      <c r="BS678" s="7">
        <v>1</v>
      </c>
      <c r="BT678" s="7">
        <v>1.586</v>
      </c>
      <c r="BU678" s="2" t="s">
        <v>107</v>
      </c>
      <c r="BV678" s="2" t="s">
        <v>108</v>
      </c>
      <c r="BW678" s="2" t="s">
        <v>2083</v>
      </c>
      <c r="BX678" s="2" t="s">
        <v>2025</v>
      </c>
      <c r="BY678" s="2" t="s">
        <v>111</v>
      </c>
    </row>
    <row r="679">
      <c r="A679" s="2" t="s">
        <v>2269</v>
      </c>
      <c r="B679" s="2" t="s">
        <v>86</v>
      </c>
      <c r="C679" s="2" t="s">
        <v>2106</v>
      </c>
      <c r="D679" s="2" t="s">
        <v>88</v>
      </c>
      <c r="E679" s="2" t="s">
        <v>88</v>
      </c>
      <c r="F679" s="2" t="s">
        <v>2240</v>
      </c>
      <c r="G679" s="2" t="s">
        <v>2241</v>
      </c>
      <c r="H679" s="2" t="s">
        <v>2242</v>
      </c>
      <c r="I679" s="2" t="s">
        <v>2243</v>
      </c>
      <c r="J679" s="2" t="s">
        <v>331</v>
      </c>
      <c r="K679" s="2" t="s">
        <v>299</v>
      </c>
      <c r="L679" s="3">
        <v>13.76</v>
      </c>
      <c r="M679" s="3">
        <v>14.45</v>
      </c>
      <c r="N679" s="3">
        <v>31.99</v>
      </c>
      <c r="O679" s="2" t="s">
        <v>368</v>
      </c>
      <c r="P679" s="2" t="s">
        <v>215</v>
      </c>
      <c r="Q679" s="2" t="s">
        <v>97</v>
      </c>
      <c r="R679" s="2" t="s">
        <v>98</v>
      </c>
      <c r="S679" s="2" t="s">
        <v>2270</v>
      </c>
      <c r="T679" s="2" t="s">
        <v>98</v>
      </c>
      <c r="U679" s="2" t="s">
        <v>100</v>
      </c>
      <c r="V679" s="2" t="s">
        <v>101</v>
      </c>
      <c r="W679" s="2" t="s">
        <v>567</v>
      </c>
      <c r="X679" s="2" t="s">
        <v>98</v>
      </c>
      <c r="Y679" s="2" t="s">
        <v>2122</v>
      </c>
      <c r="Z679" s="4"/>
      <c r="AA679" s="4">
        <f>=ROUNDDOWN({0},0)</f>
      </c>
      <c r="AB679" s="5"/>
      <c r="AC679" s="2" t="s">
        <v>98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28</v>
      </c>
      <c r="AQ679" s="8">
        <v>201.6</v>
      </c>
      <c r="AR679" s="4"/>
      <c r="AS679" s="8"/>
      <c r="AT679" s="7"/>
      <c r="AU679" s="7"/>
      <c r="AV679" s="4">
        <v>69</v>
      </c>
      <c r="AW679" s="8">
        <v>1055.17</v>
      </c>
      <c r="AX679" s="4">
        <v>46</v>
      </c>
      <c r="AY679" s="8">
        <v>650.56</v>
      </c>
      <c r="AZ679" s="7">
        <v>0.5</v>
      </c>
      <c r="BA679" s="7">
        <v>0.6219</v>
      </c>
      <c r="BB679" s="7">
        <v>0.1911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0.1641</v>
      </c>
      <c r="BJ679" s="4">
        <v>47</v>
      </c>
      <c r="BK679" s="8">
        <v>408.5</v>
      </c>
      <c r="BL679" s="2" t="s">
        <v>2271</v>
      </c>
      <c r="BM679" s="7">
        <v>0.5957</v>
      </c>
      <c r="BN679" s="7">
        <v>0.4935</v>
      </c>
      <c r="BO679" s="4">
        <v>28</v>
      </c>
      <c r="BP679" s="8">
        <v>201.6</v>
      </c>
      <c r="BQ679" s="4"/>
      <c r="BR679" s="8"/>
      <c r="BS679" s="7"/>
      <c r="BT679" s="7"/>
      <c r="BU679" s="2" t="s">
        <v>211</v>
      </c>
      <c r="BV679" s="2" t="s">
        <v>352</v>
      </c>
      <c r="BW679" s="2" t="s">
        <v>2124</v>
      </c>
      <c r="BX679" s="2" t="s">
        <v>1736</v>
      </c>
      <c r="BY679" s="2" t="s">
        <v>354</v>
      </c>
    </row>
    <row r="680">
      <c r="A680" s="2" t="s">
        <v>2272</v>
      </c>
      <c r="B680" s="2" t="s">
        <v>86</v>
      </c>
      <c r="C680" s="2" t="s">
        <v>2106</v>
      </c>
      <c r="D680" s="2" t="s">
        <v>88</v>
      </c>
      <c r="E680" s="2" t="s">
        <v>88</v>
      </c>
      <c r="F680" s="2" t="s">
        <v>2240</v>
      </c>
      <c r="G680" s="2" t="s">
        <v>2241</v>
      </c>
      <c r="H680" s="2" t="s">
        <v>2242</v>
      </c>
      <c r="I680" s="2" t="s">
        <v>2243</v>
      </c>
      <c r="J680" s="2" t="s">
        <v>93</v>
      </c>
      <c r="K680" s="2" t="s">
        <v>299</v>
      </c>
      <c r="L680" s="3">
        <v>16.28</v>
      </c>
      <c r="M680" s="3">
        <v>17.09</v>
      </c>
      <c r="N680" s="3">
        <v>36.99</v>
      </c>
      <c r="O680" s="2" t="s">
        <v>95</v>
      </c>
      <c r="P680" s="2" t="s">
        <v>215</v>
      </c>
      <c r="Q680" s="2" t="s">
        <v>97</v>
      </c>
      <c r="R680" s="2" t="s">
        <v>98</v>
      </c>
      <c r="S680" s="2" t="s">
        <v>2270</v>
      </c>
      <c r="T680" s="2" t="s">
        <v>98</v>
      </c>
      <c r="U680" s="2" t="s">
        <v>100</v>
      </c>
      <c r="V680" s="2" t="s">
        <v>101</v>
      </c>
      <c r="W680" s="2" t="s">
        <v>567</v>
      </c>
      <c r="X680" s="2" t="s">
        <v>98</v>
      </c>
      <c r="Y680" s="2" t="s">
        <v>2122</v>
      </c>
      <c r="Z680" s="4">
        <v>210</v>
      </c>
      <c r="AA680" s="4">
        <f>=ROUNDDOWN(77.7777777777778,0)</f>
      </c>
      <c r="AB680" s="5">
        <v>2.7</v>
      </c>
      <c r="AC680" s="2" t="s">
        <v>98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17</v>
      </c>
      <c r="AQ680" s="8">
        <v>319.26</v>
      </c>
      <c r="AR680" s="4"/>
      <c r="AS680" s="8"/>
      <c r="AT680" s="7"/>
      <c r="AU680" s="7"/>
      <c r="AV680" s="4" t="s">
        <v>98</v>
      </c>
      <c r="AW680" s="8" t="s">
        <v>98</v>
      </c>
      <c r="AX680" s="4" t="s">
        <v>98</v>
      </c>
      <c r="AY680" s="8" t="s">
        <v>98</v>
      </c>
      <c r="AZ680" s="7" t="s">
        <v>98</v>
      </c>
      <c r="BA680" s="7" t="s">
        <v>98</v>
      </c>
      <c r="BB680" s="7">
        <v>0.3026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 t="s">
        <v>98</v>
      </c>
      <c r="BJ680" s="4">
        <v>53</v>
      </c>
      <c r="BK680" s="8">
        <v>940.76</v>
      </c>
      <c r="BL680" s="2" t="s">
        <v>1485</v>
      </c>
      <c r="BM680" s="7">
        <v>0.3208</v>
      </c>
      <c r="BN680" s="7">
        <v>0.3394</v>
      </c>
      <c r="BO680" s="4">
        <v>17</v>
      </c>
      <c r="BP680" s="8">
        <v>319.26</v>
      </c>
      <c r="BQ680" s="4"/>
      <c r="BR680" s="8"/>
      <c r="BS680" s="7"/>
      <c r="BT680" s="7"/>
      <c r="BU680" s="2" t="s">
        <v>107</v>
      </c>
      <c r="BV680" s="2" t="s">
        <v>108</v>
      </c>
      <c r="BW680" s="2" t="s">
        <v>2124</v>
      </c>
      <c r="BX680" s="2" t="s">
        <v>2125</v>
      </c>
      <c r="BY680" s="2" t="s">
        <v>111</v>
      </c>
    </row>
    <row r="681">
      <c r="A681" s="2" t="s">
        <v>2273</v>
      </c>
      <c r="B681" s="2" t="s">
        <v>86</v>
      </c>
      <c r="C681" s="2" t="s">
        <v>2106</v>
      </c>
      <c r="D681" s="2" t="s">
        <v>88</v>
      </c>
      <c r="E681" s="2" t="s">
        <v>88</v>
      </c>
      <c r="F681" s="2" t="s">
        <v>2240</v>
      </c>
      <c r="G681" s="2" t="s">
        <v>2241</v>
      </c>
      <c r="H681" s="2" t="s">
        <v>2242</v>
      </c>
      <c r="I681" s="2" t="s">
        <v>2243</v>
      </c>
      <c r="J681" s="2" t="s">
        <v>113</v>
      </c>
      <c r="K681" s="2" t="s">
        <v>299</v>
      </c>
      <c r="L681" s="3">
        <v>18</v>
      </c>
      <c r="M681" s="3">
        <v>18.9</v>
      </c>
      <c r="N681" s="3">
        <v>39.99</v>
      </c>
      <c r="O681" s="2" t="s">
        <v>368</v>
      </c>
      <c r="P681" s="2" t="s">
        <v>215</v>
      </c>
      <c r="Q681" s="2" t="s">
        <v>97</v>
      </c>
      <c r="R681" s="2" t="s">
        <v>98</v>
      </c>
      <c r="S681" s="2" t="s">
        <v>2270</v>
      </c>
      <c r="T681" s="2" t="s">
        <v>98</v>
      </c>
      <c r="U681" s="2" t="s">
        <v>100</v>
      </c>
      <c r="V681" s="2" t="s">
        <v>101</v>
      </c>
      <c r="W681" s="2" t="s">
        <v>567</v>
      </c>
      <c r="X681" s="2" t="s">
        <v>98</v>
      </c>
      <c r="Y681" s="2" t="s">
        <v>2122</v>
      </c>
      <c r="Z681" s="4"/>
      <c r="AA681" s="4">
        <f>=ROUNDDOWN({0},0)</f>
      </c>
      <c r="AB681" s="5">
        <v>0.5</v>
      </c>
      <c r="AC681" s="2" t="s">
        <v>98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3</v>
      </c>
      <c r="AQ681" s="8">
        <v>63.51</v>
      </c>
      <c r="AR681" s="4">
        <v>29</v>
      </c>
      <c r="AS681" s="8">
        <v>452.98</v>
      </c>
      <c r="AT681" s="7">
        <v>-0.8966</v>
      </c>
      <c r="AU681" s="7">
        <v>-0.8598</v>
      </c>
      <c r="AV681" s="4" t="s">
        <v>98</v>
      </c>
      <c r="AW681" s="8" t="s">
        <v>98</v>
      </c>
      <c r="AX681" s="4" t="s">
        <v>98</v>
      </c>
      <c r="AY681" s="8" t="s">
        <v>98</v>
      </c>
      <c r="AZ681" s="7" t="s">
        <v>98</v>
      </c>
      <c r="BA681" s="7" t="s">
        <v>98</v>
      </c>
      <c r="BB681" s="7">
        <v>0.0602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 t="s">
        <v>98</v>
      </c>
      <c r="BJ681" s="4">
        <v>45</v>
      </c>
      <c r="BK681" s="8">
        <v>878.21</v>
      </c>
      <c r="BL681" s="2" t="s">
        <v>1485</v>
      </c>
      <c r="BM681" s="7">
        <v>0.0667</v>
      </c>
      <c r="BN681" s="7">
        <v>0.0723</v>
      </c>
      <c r="BO681" s="4">
        <v>3</v>
      </c>
      <c r="BP681" s="8">
        <v>63.51</v>
      </c>
      <c r="BQ681" s="4">
        <v>29</v>
      </c>
      <c r="BR681" s="8">
        <v>452.98</v>
      </c>
      <c r="BS681" s="7">
        <v>-0.8966</v>
      </c>
      <c r="BT681" s="7">
        <v>-0.8598</v>
      </c>
      <c r="BU681" s="2" t="s">
        <v>211</v>
      </c>
      <c r="BV681" s="2" t="s">
        <v>352</v>
      </c>
      <c r="BW681" s="2" t="s">
        <v>2124</v>
      </c>
      <c r="BX681" s="2" t="s">
        <v>2274</v>
      </c>
      <c r="BY681" s="2" t="s">
        <v>111</v>
      </c>
    </row>
    <row r="682">
      <c r="A682" s="2" t="s">
        <v>2275</v>
      </c>
      <c r="B682" s="2" t="s">
        <v>86</v>
      </c>
      <c r="C682" s="2" t="s">
        <v>2106</v>
      </c>
      <c r="D682" s="2" t="s">
        <v>88</v>
      </c>
      <c r="E682" s="2" t="s">
        <v>88</v>
      </c>
      <c r="F682" s="2" t="s">
        <v>2240</v>
      </c>
      <c r="G682" s="2" t="s">
        <v>2241</v>
      </c>
      <c r="H682" s="2" t="s">
        <v>2242</v>
      </c>
      <c r="I682" s="2" t="s">
        <v>2243</v>
      </c>
      <c r="J682" s="2" t="s">
        <v>2251</v>
      </c>
      <c r="K682" s="2" t="s">
        <v>299</v>
      </c>
      <c r="L682" s="3">
        <v>12.76</v>
      </c>
      <c r="M682" s="3">
        <v>13.4</v>
      </c>
      <c r="N682" s="3">
        <v>28.99</v>
      </c>
      <c r="O682" s="2" t="s">
        <v>95</v>
      </c>
      <c r="P682" s="2" t="s">
        <v>215</v>
      </c>
      <c r="Q682" s="2" t="s">
        <v>97</v>
      </c>
      <c r="R682" s="2" t="s">
        <v>98</v>
      </c>
      <c r="S682" s="2" t="s">
        <v>2270</v>
      </c>
      <c r="T682" s="2" t="s">
        <v>98</v>
      </c>
      <c r="U682" s="2" t="s">
        <v>100</v>
      </c>
      <c r="V682" s="2" t="s">
        <v>101</v>
      </c>
      <c r="W682" s="2" t="s">
        <v>567</v>
      </c>
      <c r="X682" s="2" t="s">
        <v>98</v>
      </c>
      <c r="Y682" s="2" t="s">
        <v>2122</v>
      </c>
      <c r="Z682" s="4">
        <v>99</v>
      </c>
      <c r="AA682" s="4">
        <f>=ROUNDDOWN(33,0)</f>
      </c>
      <c r="AB682" s="5">
        <v>3</v>
      </c>
      <c r="AC682" s="2" t="s">
        <v>98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10</v>
      </c>
      <c r="AQ682" s="8">
        <v>144.1</v>
      </c>
      <c r="AR682" s="4">
        <v>16</v>
      </c>
      <c r="AS682" s="8">
        <v>171.68</v>
      </c>
      <c r="AT682" s="7">
        <v>-0.375</v>
      </c>
      <c r="AU682" s="7">
        <v>-0.1606</v>
      </c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>
        <v>0.1366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 t="s">
        <v>98</v>
      </c>
      <c r="BJ682" s="4">
        <v>43</v>
      </c>
      <c r="BK682" s="8">
        <v>593.2</v>
      </c>
      <c r="BL682" s="2" t="s">
        <v>1591</v>
      </c>
      <c r="BM682" s="7">
        <v>0.2326</v>
      </c>
      <c r="BN682" s="7">
        <v>0.2429</v>
      </c>
      <c r="BO682" s="4">
        <v>10</v>
      </c>
      <c r="BP682" s="8">
        <v>144.1</v>
      </c>
      <c r="BQ682" s="4">
        <v>16</v>
      </c>
      <c r="BR682" s="8">
        <v>171.68</v>
      </c>
      <c r="BS682" s="7">
        <v>-0.375</v>
      </c>
      <c r="BT682" s="7">
        <v>-0.1606</v>
      </c>
      <c r="BU682" s="2" t="s">
        <v>107</v>
      </c>
      <c r="BV682" s="2" t="s">
        <v>108</v>
      </c>
      <c r="BW682" s="2" t="s">
        <v>2124</v>
      </c>
      <c r="BX682" s="2" t="s">
        <v>2125</v>
      </c>
      <c r="BY682" s="2" t="s">
        <v>111</v>
      </c>
    </row>
    <row r="683">
      <c r="A683" s="2" t="s">
        <v>2276</v>
      </c>
      <c r="B683" s="2" t="s">
        <v>86</v>
      </c>
      <c r="C683" s="2" t="s">
        <v>2106</v>
      </c>
      <c r="D683" s="2" t="s">
        <v>88</v>
      </c>
      <c r="E683" s="2" t="s">
        <v>88</v>
      </c>
      <c r="F683" s="2" t="s">
        <v>2240</v>
      </c>
      <c r="G683" s="2" t="s">
        <v>2241</v>
      </c>
      <c r="H683" s="2" t="s">
        <v>2242</v>
      </c>
      <c r="I683" s="2" t="s">
        <v>2254</v>
      </c>
      <c r="J683" s="2" t="s">
        <v>2255</v>
      </c>
      <c r="K683" s="2" t="s">
        <v>299</v>
      </c>
      <c r="L683" s="3">
        <v>25.85</v>
      </c>
      <c r="M683" s="3">
        <v>27.14</v>
      </c>
      <c r="N683" s="3">
        <v>54.99</v>
      </c>
      <c r="O683" s="2" t="s">
        <v>95</v>
      </c>
      <c r="P683" s="2" t="s">
        <v>150</v>
      </c>
      <c r="Q683" s="2" t="s">
        <v>97</v>
      </c>
      <c r="R683" s="2" t="s">
        <v>98</v>
      </c>
      <c r="S683" s="2" t="s">
        <v>2270</v>
      </c>
      <c r="T683" s="2" t="s">
        <v>878</v>
      </c>
      <c r="U683" s="2" t="s">
        <v>100</v>
      </c>
      <c r="V683" s="2" t="s">
        <v>101</v>
      </c>
      <c r="W683" s="2" t="s">
        <v>567</v>
      </c>
      <c r="X683" s="2" t="s">
        <v>2150</v>
      </c>
      <c r="Y683" s="2" t="s">
        <v>2277</v>
      </c>
      <c r="Z683" s="4">
        <v>176</v>
      </c>
      <c r="AA683" s="4">
        <f>=ROUNDDOWN(29.3333333333333,0)</f>
      </c>
      <c r="AB683" s="5">
        <v>6</v>
      </c>
      <c r="AC683" s="2" t="s">
        <v>98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11</v>
      </c>
      <c r="AQ683" s="8">
        <v>326.7</v>
      </c>
      <c r="AR683" s="4">
        <v>1</v>
      </c>
      <c r="AS683" s="8">
        <v>25.9</v>
      </c>
      <c r="AT683" s="7">
        <v>10</v>
      </c>
      <c r="AU683" s="7">
        <v>11.6139</v>
      </c>
      <c r="AV683" s="4" t="s">
        <v>98</v>
      </c>
      <c r="AW683" s="8" t="s">
        <v>98</v>
      </c>
      <c r="AX683" s="4" t="s">
        <v>98</v>
      </c>
      <c r="AY683" s="8" t="s">
        <v>98</v>
      </c>
      <c r="AZ683" s="7" t="s">
        <v>98</v>
      </c>
      <c r="BA683" s="7" t="s">
        <v>98</v>
      </c>
      <c r="BB683" s="7">
        <v>0.3096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 t="s">
        <v>98</v>
      </c>
      <c r="BJ683" s="4">
        <v>113</v>
      </c>
      <c r="BK683" s="8">
        <v>3138.96</v>
      </c>
      <c r="BL683" s="2" t="s">
        <v>2278</v>
      </c>
      <c r="BM683" s="7">
        <v>0.0973</v>
      </c>
      <c r="BN683" s="7">
        <v>0.1041</v>
      </c>
      <c r="BO683" s="4">
        <v>11</v>
      </c>
      <c r="BP683" s="8">
        <v>326.7</v>
      </c>
      <c r="BQ683" s="4">
        <v>1</v>
      </c>
      <c r="BR683" s="8">
        <v>25.9</v>
      </c>
      <c r="BS683" s="7">
        <v>10</v>
      </c>
      <c r="BT683" s="7">
        <v>11.6139</v>
      </c>
      <c r="BU683" s="2" t="s">
        <v>107</v>
      </c>
      <c r="BV683" s="2" t="s">
        <v>108</v>
      </c>
      <c r="BW683" s="2" t="s">
        <v>801</v>
      </c>
      <c r="BX683" s="2" t="s">
        <v>967</v>
      </c>
      <c r="BY683" s="2" t="s">
        <v>111</v>
      </c>
    </row>
    <row r="684">
      <c r="A684" s="2" t="s">
        <v>2279</v>
      </c>
      <c r="B684" s="2" t="s">
        <v>86</v>
      </c>
      <c r="C684" s="2" t="s">
        <v>2106</v>
      </c>
      <c r="D684" s="2" t="s">
        <v>88</v>
      </c>
      <c r="E684" s="2" t="s">
        <v>88</v>
      </c>
      <c r="F684" s="2" t="s">
        <v>2240</v>
      </c>
      <c r="G684" s="2" t="s">
        <v>2241</v>
      </c>
      <c r="H684" s="2" t="s">
        <v>2242</v>
      </c>
      <c r="I684" s="2" t="s">
        <v>2243</v>
      </c>
      <c r="J684" s="2" t="s">
        <v>331</v>
      </c>
      <c r="K684" s="2" t="s">
        <v>2280</v>
      </c>
      <c r="L684" s="3">
        <v>13.76</v>
      </c>
      <c r="M684" s="3">
        <v>14.45</v>
      </c>
      <c r="N684" s="3">
        <v>31.99</v>
      </c>
      <c r="O684" s="2" t="s">
        <v>368</v>
      </c>
      <c r="P684" s="2" t="s">
        <v>215</v>
      </c>
      <c r="Q684" s="2" t="s">
        <v>97</v>
      </c>
      <c r="R684" s="2" t="s">
        <v>98</v>
      </c>
      <c r="S684" s="2" t="s">
        <v>2281</v>
      </c>
      <c r="T684" s="2" t="s">
        <v>98</v>
      </c>
      <c r="U684" s="2" t="s">
        <v>98</v>
      </c>
      <c r="V684" s="2" t="s">
        <v>101</v>
      </c>
      <c r="W684" s="2" t="s">
        <v>567</v>
      </c>
      <c r="X684" s="2" t="s">
        <v>98</v>
      </c>
      <c r="Y684" s="2" t="s">
        <v>2245</v>
      </c>
      <c r="Z684" s="4">
        <v>5</v>
      </c>
      <c r="AA684" s="4">
        <f>=ROUNDDOWN(5,0)</f>
      </c>
      <c r="AB684" s="5">
        <v>1</v>
      </c>
      <c r="AC684" s="2" t="s">
        <v>98</v>
      </c>
      <c r="AD684" s="4"/>
      <c r="AE684" s="4"/>
      <c r="AF684" s="6">
        <v>65</v>
      </c>
      <c r="AG684" s="6"/>
      <c r="AH684" s="7">
        <v>0.5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>
        <v>46</v>
      </c>
      <c r="AS684" s="8">
        <v>536.36</v>
      </c>
      <c r="AT684" s="7">
        <v>-1</v>
      </c>
      <c r="AU684" s="7">
        <v>-1</v>
      </c>
      <c r="AV684" s="4">
        <v>14</v>
      </c>
      <c r="AW684" s="8">
        <v>353.08</v>
      </c>
      <c r="AX684" s="4">
        <v>221</v>
      </c>
      <c r="AY684" s="8">
        <v>3110.32</v>
      </c>
      <c r="AZ684" s="7">
        <v>-0.9367</v>
      </c>
      <c r="BA684" s="7">
        <v>-0.8865</v>
      </c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0.0549</v>
      </c>
      <c r="BJ684" s="4"/>
      <c r="BK684" s="8"/>
      <c r="BL684" s="2" t="s">
        <v>585</v>
      </c>
      <c r="BM684" s="7"/>
      <c r="BN684" s="7"/>
      <c r="BO684" s="4"/>
      <c r="BP684" s="8"/>
      <c r="BQ684" s="4">
        <v>46</v>
      </c>
      <c r="BR684" s="8">
        <v>536.36</v>
      </c>
      <c r="BS684" s="7">
        <v>-1</v>
      </c>
      <c r="BT684" s="7">
        <v>-1</v>
      </c>
      <c r="BU684" s="2" t="s">
        <v>211</v>
      </c>
      <c r="BV684" s="2" t="s">
        <v>352</v>
      </c>
      <c r="BW684" s="2" t="s">
        <v>2115</v>
      </c>
      <c r="BX684" s="2" t="s">
        <v>2282</v>
      </c>
      <c r="BY684" s="2" t="s">
        <v>354</v>
      </c>
    </row>
    <row r="685">
      <c r="A685" s="2" t="s">
        <v>2283</v>
      </c>
      <c r="B685" s="2" t="s">
        <v>86</v>
      </c>
      <c r="C685" s="2" t="s">
        <v>2106</v>
      </c>
      <c r="D685" s="2" t="s">
        <v>88</v>
      </c>
      <c r="E685" s="2" t="s">
        <v>88</v>
      </c>
      <c r="F685" s="2" t="s">
        <v>2240</v>
      </c>
      <c r="G685" s="2" t="s">
        <v>2241</v>
      </c>
      <c r="H685" s="2" t="s">
        <v>2242</v>
      </c>
      <c r="I685" s="2" t="s">
        <v>2243</v>
      </c>
      <c r="J685" s="2" t="s">
        <v>93</v>
      </c>
      <c r="K685" s="2" t="s">
        <v>2280</v>
      </c>
      <c r="L685" s="3">
        <v>16.28</v>
      </c>
      <c r="M685" s="3">
        <v>17.09</v>
      </c>
      <c r="N685" s="3">
        <v>36.99</v>
      </c>
      <c r="O685" s="2" t="s">
        <v>95</v>
      </c>
      <c r="P685" s="2" t="s">
        <v>150</v>
      </c>
      <c r="Q685" s="2" t="s">
        <v>97</v>
      </c>
      <c r="R685" s="2" t="s">
        <v>98</v>
      </c>
      <c r="S685" s="2" t="s">
        <v>2281</v>
      </c>
      <c r="T685" s="2" t="s">
        <v>98</v>
      </c>
      <c r="U685" s="2" t="s">
        <v>98</v>
      </c>
      <c r="V685" s="2" t="s">
        <v>101</v>
      </c>
      <c r="W685" s="2" t="s">
        <v>567</v>
      </c>
      <c r="X685" s="2" t="s">
        <v>2150</v>
      </c>
      <c r="Y685" s="2" t="s">
        <v>2245</v>
      </c>
      <c r="Z685" s="4">
        <v>326</v>
      </c>
      <c r="AA685" s="4">
        <f>=ROUNDDOWN(29.6363636363636,0)</f>
      </c>
      <c r="AB685" s="5">
        <v>11</v>
      </c>
      <c r="AC685" s="2" t="s">
        <v>98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2</v>
      </c>
      <c r="AQ685" s="8">
        <v>37.56</v>
      </c>
      <c r="AR685" s="4">
        <v>79</v>
      </c>
      <c r="AS685" s="8">
        <v>1106</v>
      </c>
      <c r="AT685" s="7">
        <v>-0.9747</v>
      </c>
      <c r="AU685" s="7">
        <v>-0.966</v>
      </c>
      <c r="AV685" s="4" t="s">
        <v>98</v>
      </c>
      <c r="AW685" s="8" t="s">
        <v>98</v>
      </c>
      <c r="AX685" s="4" t="s">
        <v>98</v>
      </c>
      <c r="AY685" s="8" t="s">
        <v>98</v>
      </c>
      <c r="AZ685" s="7" t="s">
        <v>98</v>
      </c>
      <c r="BA685" s="7" t="s">
        <v>98</v>
      </c>
      <c r="BB685" s="7">
        <v>0.1064</v>
      </c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 t="s">
        <v>98</v>
      </c>
      <c r="BJ685" s="4">
        <v>146</v>
      </c>
      <c r="BK685" s="8">
        <v>2361.36</v>
      </c>
      <c r="BL685" s="2" t="s">
        <v>2268</v>
      </c>
      <c r="BM685" s="7">
        <v>0.0137</v>
      </c>
      <c r="BN685" s="7">
        <v>0.0159</v>
      </c>
      <c r="BO685" s="4">
        <v>2</v>
      </c>
      <c r="BP685" s="8">
        <v>37.56</v>
      </c>
      <c r="BQ685" s="4">
        <v>79</v>
      </c>
      <c r="BR685" s="8">
        <v>1106</v>
      </c>
      <c r="BS685" s="7">
        <v>-0.9747</v>
      </c>
      <c r="BT685" s="7">
        <v>-0.966</v>
      </c>
      <c r="BU685" s="2" t="s">
        <v>107</v>
      </c>
      <c r="BV685" s="2" t="s">
        <v>108</v>
      </c>
      <c r="BW685" s="2" t="s">
        <v>2115</v>
      </c>
      <c r="BX685" s="2" t="s">
        <v>2131</v>
      </c>
      <c r="BY685" s="2" t="s">
        <v>111</v>
      </c>
    </row>
    <row r="686">
      <c r="A686" s="2" t="s">
        <v>2284</v>
      </c>
      <c r="B686" s="2" t="s">
        <v>86</v>
      </c>
      <c r="C686" s="2" t="s">
        <v>2106</v>
      </c>
      <c r="D686" s="2" t="s">
        <v>88</v>
      </c>
      <c r="E686" s="2" t="s">
        <v>88</v>
      </c>
      <c r="F686" s="2" t="s">
        <v>2240</v>
      </c>
      <c r="G686" s="2" t="s">
        <v>2241</v>
      </c>
      <c r="H686" s="2" t="s">
        <v>2242</v>
      </c>
      <c r="I686" s="2" t="s">
        <v>2243</v>
      </c>
      <c r="J686" s="2" t="s">
        <v>113</v>
      </c>
      <c r="K686" s="2" t="s">
        <v>2280</v>
      </c>
      <c r="L686" s="3">
        <v>18</v>
      </c>
      <c r="M686" s="3">
        <v>18.9</v>
      </c>
      <c r="N686" s="3">
        <v>39.99</v>
      </c>
      <c r="O686" s="2" t="s">
        <v>95</v>
      </c>
      <c r="P686" s="2" t="s">
        <v>465</v>
      </c>
      <c r="Q686" s="2" t="s">
        <v>97</v>
      </c>
      <c r="R686" s="2" t="s">
        <v>98</v>
      </c>
      <c r="S686" s="2" t="s">
        <v>2285</v>
      </c>
      <c r="T686" s="2" t="s">
        <v>98</v>
      </c>
      <c r="U686" s="2" t="s">
        <v>98</v>
      </c>
      <c r="V686" s="2" t="s">
        <v>101</v>
      </c>
      <c r="W686" s="2" t="s">
        <v>567</v>
      </c>
      <c r="X686" s="2" t="s">
        <v>98</v>
      </c>
      <c r="Y686" s="2" t="s">
        <v>2245</v>
      </c>
      <c r="Z686" s="4">
        <v>26</v>
      </c>
      <c r="AA686" s="4">
        <f>=ROUNDDOWN(2.30088495575221,0)</f>
      </c>
      <c r="AB686" s="5">
        <v>11.3</v>
      </c>
      <c r="AC686" s="2" t="s">
        <v>98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3</v>
      </c>
      <c r="AQ686" s="8">
        <v>63.51</v>
      </c>
      <c r="AR686" s="4">
        <v>52</v>
      </c>
      <c r="AS686" s="8">
        <v>812.24</v>
      </c>
      <c r="AT686" s="7">
        <v>-0.9423</v>
      </c>
      <c r="AU686" s="7">
        <v>-0.9218</v>
      </c>
      <c r="AV686" s="4" t="s">
        <v>98</v>
      </c>
      <c r="AW686" s="8" t="s">
        <v>98</v>
      </c>
      <c r="AX686" s="4" t="s">
        <v>98</v>
      </c>
      <c r="AY686" s="8" t="s">
        <v>98</v>
      </c>
      <c r="AZ686" s="7" t="s">
        <v>98</v>
      </c>
      <c r="BA686" s="7" t="s">
        <v>98</v>
      </c>
      <c r="BB686" s="7">
        <v>0.1799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 t="s">
        <v>98</v>
      </c>
      <c r="BJ686" s="4">
        <v>66</v>
      </c>
      <c r="BK686" s="8">
        <v>1230.94</v>
      </c>
      <c r="BL686" s="2" t="s">
        <v>2256</v>
      </c>
      <c r="BM686" s="7">
        <v>0.0455</v>
      </c>
      <c r="BN686" s="7">
        <v>0.0516</v>
      </c>
      <c r="BO686" s="4">
        <v>3</v>
      </c>
      <c r="BP686" s="8">
        <v>63.51</v>
      </c>
      <c r="BQ686" s="4">
        <v>52</v>
      </c>
      <c r="BR686" s="8">
        <v>812.24</v>
      </c>
      <c r="BS686" s="7">
        <v>-0.9423</v>
      </c>
      <c r="BT686" s="7">
        <v>-0.9218</v>
      </c>
      <c r="BU686" s="2" t="s">
        <v>211</v>
      </c>
      <c r="BV686" s="2" t="s">
        <v>95</v>
      </c>
      <c r="BW686" s="2" t="s">
        <v>2115</v>
      </c>
      <c r="BX686" s="2" t="s">
        <v>2286</v>
      </c>
      <c r="BY686" s="2" t="s">
        <v>354</v>
      </c>
    </row>
    <row r="687">
      <c r="A687" s="2" t="s">
        <v>2287</v>
      </c>
      <c r="B687" s="2" t="s">
        <v>86</v>
      </c>
      <c r="C687" s="2" t="s">
        <v>2106</v>
      </c>
      <c r="D687" s="2" t="s">
        <v>88</v>
      </c>
      <c r="E687" s="2" t="s">
        <v>88</v>
      </c>
      <c r="F687" s="2" t="s">
        <v>2240</v>
      </c>
      <c r="G687" s="2" t="s">
        <v>2241</v>
      </c>
      <c r="H687" s="2" t="s">
        <v>2242</v>
      </c>
      <c r="I687" s="2" t="s">
        <v>2243</v>
      </c>
      <c r="J687" s="2" t="s">
        <v>2251</v>
      </c>
      <c r="K687" s="2" t="s">
        <v>2280</v>
      </c>
      <c r="L687" s="3">
        <v>12.76</v>
      </c>
      <c r="M687" s="3">
        <v>13.4</v>
      </c>
      <c r="N687" s="3">
        <v>28.99</v>
      </c>
      <c r="O687" s="2" t="s">
        <v>95</v>
      </c>
      <c r="P687" s="2" t="s">
        <v>150</v>
      </c>
      <c r="Q687" s="2" t="s">
        <v>97</v>
      </c>
      <c r="R687" s="2" t="s">
        <v>98</v>
      </c>
      <c r="S687" s="2" t="s">
        <v>2281</v>
      </c>
      <c r="T687" s="2" t="s">
        <v>98</v>
      </c>
      <c r="U687" s="2" t="s">
        <v>98</v>
      </c>
      <c r="V687" s="2" t="s">
        <v>101</v>
      </c>
      <c r="W687" s="2" t="s">
        <v>567</v>
      </c>
      <c r="X687" s="2" t="s">
        <v>2150</v>
      </c>
      <c r="Y687" s="2" t="s">
        <v>2245</v>
      </c>
      <c r="Z687" s="4">
        <v>99</v>
      </c>
      <c r="AA687" s="4">
        <f>=ROUNDDOWN(19.8,0)</f>
      </c>
      <c r="AB687" s="5">
        <v>5</v>
      </c>
      <c r="AC687" s="2" t="s">
        <v>489</v>
      </c>
      <c r="AD687" s="4">
        <v>72</v>
      </c>
      <c r="AE687" s="4">
        <v>72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1</v>
      </c>
      <c r="AQ687" s="8">
        <v>14.41</v>
      </c>
      <c r="AR687" s="4">
        <v>29</v>
      </c>
      <c r="AS687" s="8">
        <v>311.17</v>
      </c>
      <c r="AT687" s="7">
        <v>-0.9655</v>
      </c>
      <c r="AU687" s="7">
        <v>-0.9537</v>
      </c>
      <c r="AV687" s="4" t="s">
        <v>98</v>
      </c>
      <c r="AW687" s="8" t="s">
        <v>98</v>
      </c>
      <c r="AX687" s="4" t="s">
        <v>98</v>
      </c>
      <c r="AY687" s="8" t="s">
        <v>98</v>
      </c>
      <c r="AZ687" s="7" t="s">
        <v>98</v>
      </c>
      <c r="BA687" s="7" t="s">
        <v>98</v>
      </c>
      <c r="BB687" s="7">
        <v>0.0408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 t="s">
        <v>98</v>
      </c>
      <c r="BJ687" s="4">
        <v>91</v>
      </c>
      <c r="BK687" s="8">
        <v>1234.28</v>
      </c>
      <c r="BL687" s="2" t="s">
        <v>287</v>
      </c>
      <c r="BM687" s="7">
        <v>0.011</v>
      </c>
      <c r="BN687" s="7">
        <v>0.0117</v>
      </c>
      <c r="BO687" s="4">
        <v>1</v>
      </c>
      <c r="BP687" s="8">
        <v>14.41</v>
      </c>
      <c r="BQ687" s="4">
        <v>29</v>
      </c>
      <c r="BR687" s="8">
        <v>311.17</v>
      </c>
      <c r="BS687" s="7">
        <v>-0.9655</v>
      </c>
      <c r="BT687" s="7">
        <v>-0.9537</v>
      </c>
      <c r="BU687" s="2" t="s">
        <v>107</v>
      </c>
      <c r="BV687" s="2" t="s">
        <v>108</v>
      </c>
      <c r="BW687" s="2" t="s">
        <v>2115</v>
      </c>
      <c r="BX687" s="2" t="s">
        <v>2288</v>
      </c>
      <c r="BY687" s="2" t="s">
        <v>111</v>
      </c>
    </row>
    <row r="688">
      <c r="A688" s="2" t="s">
        <v>2289</v>
      </c>
      <c r="B688" s="2" t="s">
        <v>86</v>
      </c>
      <c r="C688" s="2" t="s">
        <v>2106</v>
      </c>
      <c r="D688" s="2" t="s">
        <v>88</v>
      </c>
      <c r="E688" s="2" t="s">
        <v>88</v>
      </c>
      <c r="F688" s="2" t="s">
        <v>2240</v>
      </c>
      <c r="G688" s="2" t="s">
        <v>2241</v>
      </c>
      <c r="H688" s="2" t="s">
        <v>2242</v>
      </c>
      <c r="I688" s="2" t="s">
        <v>2254</v>
      </c>
      <c r="J688" s="2" t="s">
        <v>2255</v>
      </c>
      <c r="K688" s="2" t="s">
        <v>2280</v>
      </c>
      <c r="L688" s="3">
        <v>25.85</v>
      </c>
      <c r="M688" s="3">
        <v>27.14</v>
      </c>
      <c r="N688" s="3">
        <v>54.99</v>
      </c>
      <c r="O688" s="2" t="s">
        <v>95</v>
      </c>
      <c r="P688" s="2" t="s">
        <v>150</v>
      </c>
      <c r="Q688" s="2" t="s">
        <v>97</v>
      </c>
      <c r="R688" s="2" t="s">
        <v>98</v>
      </c>
      <c r="S688" s="2" t="s">
        <v>2285</v>
      </c>
      <c r="T688" s="2" t="s">
        <v>98</v>
      </c>
      <c r="U688" s="2" t="s">
        <v>100</v>
      </c>
      <c r="V688" s="2" t="s">
        <v>101</v>
      </c>
      <c r="W688" s="2" t="s">
        <v>567</v>
      </c>
      <c r="X688" s="2" t="s">
        <v>2150</v>
      </c>
      <c r="Y688" s="2" t="s">
        <v>2151</v>
      </c>
      <c r="Z688" s="4">
        <v>149</v>
      </c>
      <c r="AA688" s="4">
        <f>=ROUNDDOWN(14.9,0)</f>
      </c>
      <c r="AB688" s="5">
        <v>10</v>
      </c>
      <c r="AC688" s="2" t="s">
        <v>489</v>
      </c>
      <c r="AD688" s="4">
        <v>204</v>
      </c>
      <c r="AE688" s="4">
        <v>204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8</v>
      </c>
      <c r="AQ688" s="8">
        <v>237.6</v>
      </c>
      <c r="AR688" s="4">
        <v>15</v>
      </c>
      <c r="AS688" s="8">
        <v>344.55</v>
      </c>
      <c r="AT688" s="7">
        <v>-0.4667</v>
      </c>
      <c r="AU688" s="7">
        <v>-0.3104</v>
      </c>
      <c r="AV688" s="4" t="s">
        <v>98</v>
      </c>
      <c r="AW688" s="8" t="s">
        <v>98</v>
      </c>
      <c r="AX688" s="4" t="s">
        <v>98</v>
      </c>
      <c r="AY688" s="8" t="s">
        <v>98</v>
      </c>
      <c r="AZ688" s="7" t="s">
        <v>98</v>
      </c>
      <c r="BA688" s="7" t="s">
        <v>98</v>
      </c>
      <c r="BB688" s="7">
        <v>0.6729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 t="s">
        <v>98</v>
      </c>
      <c r="BJ688" s="4">
        <v>140</v>
      </c>
      <c r="BK688" s="8">
        <v>3939.58</v>
      </c>
      <c r="BL688" s="2" t="s">
        <v>2290</v>
      </c>
      <c r="BM688" s="7">
        <v>0.0571</v>
      </c>
      <c r="BN688" s="7">
        <v>0.0603</v>
      </c>
      <c r="BO688" s="4">
        <v>8</v>
      </c>
      <c r="BP688" s="8">
        <v>237.6</v>
      </c>
      <c r="BQ688" s="4">
        <v>15</v>
      </c>
      <c r="BR688" s="8">
        <v>344.55</v>
      </c>
      <c r="BS688" s="7">
        <v>-0.4667</v>
      </c>
      <c r="BT688" s="7">
        <v>-0.3104</v>
      </c>
      <c r="BU688" s="2" t="s">
        <v>107</v>
      </c>
      <c r="BV688" s="2" t="s">
        <v>108</v>
      </c>
      <c r="BW688" s="2" t="s">
        <v>2083</v>
      </c>
      <c r="BX688" s="2" t="s">
        <v>2291</v>
      </c>
      <c r="BY688" s="2" t="s">
        <v>111</v>
      </c>
    </row>
    <row r="689">
      <c r="A689" s="2" t="s">
        <v>2292</v>
      </c>
      <c r="B689" s="2" t="s">
        <v>86</v>
      </c>
      <c r="C689" s="2" t="s">
        <v>2106</v>
      </c>
      <c r="D689" s="2" t="s">
        <v>88</v>
      </c>
      <c r="E689" s="2" t="s">
        <v>88</v>
      </c>
      <c r="F689" s="2" t="s">
        <v>2293</v>
      </c>
      <c r="G689" s="2" t="s">
        <v>2294</v>
      </c>
      <c r="H689" s="2" t="s">
        <v>2295</v>
      </c>
      <c r="I689" s="2" t="s">
        <v>2296</v>
      </c>
      <c r="J689" s="2" t="s">
        <v>93</v>
      </c>
      <c r="K689" s="2" t="s">
        <v>137</v>
      </c>
      <c r="L689" s="3">
        <v>16.8</v>
      </c>
      <c r="M689" s="3">
        <v>17.64</v>
      </c>
      <c r="N689" s="3">
        <v>39.99</v>
      </c>
      <c r="O689" s="2" t="s">
        <v>95</v>
      </c>
      <c r="P689" s="2" t="s">
        <v>150</v>
      </c>
      <c r="Q689" s="2" t="s">
        <v>97</v>
      </c>
      <c r="R689" s="2" t="s">
        <v>98</v>
      </c>
      <c r="S689" s="2" t="s">
        <v>2297</v>
      </c>
      <c r="T689" s="2" t="s">
        <v>98</v>
      </c>
      <c r="U689" s="2" t="s">
        <v>100</v>
      </c>
      <c r="V689" s="2" t="s">
        <v>2050</v>
      </c>
      <c r="W689" s="2" t="s">
        <v>98</v>
      </c>
      <c r="X689" s="2" t="s">
        <v>130</v>
      </c>
      <c r="Y689" s="2" t="s">
        <v>2232</v>
      </c>
      <c r="Z689" s="4">
        <v>298</v>
      </c>
      <c r="AA689" s="4">
        <f>=ROUNDDOWN(14.1904761904762,0)</f>
      </c>
      <c r="AB689" s="5">
        <v>21</v>
      </c>
      <c r="AC689" s="2" t="s">
        <v>264</v>
      </c>
      <c r="AD689" s="4">
        <v>288</v>
      </c>
      <c r="AE689" s="4">
        <v>288</v>
      </c>
      <c r="AF689" s="6">
        <v>68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17</v>
      </c>
      <c r="AQ689" s="8">
        <v>326.4</v>
      </c>
      <c r="AR689" s="4"/>
      <c r="AS689" s="8"/>
      <c r="AT689" s="7"/>
      <c r="AU689" s="7"/>
      <c r="AV689" s="4">
        <v>99</v>
      </c>
      <c r="AW689" s="8">
        <v>2129.1</v>
      </c>
      <c r="AX689" s="4" t="s">
        <v>98</v>
      </c>
      <c r="AY689" s="8" t="s">
        <v>98</v>
      </c>
      <c r="AZ689" s="7" t="s">
        <v>98</v>
      </c>
      <c r="BA689" s="7" t="s">
        <v>98</v>
      </c>
      <c r="BB689" s="7">
        <v>0.1533</v>
      </c>
      <c r="BC689" s="4">
        <v>239</v>
      </c>
      <c r="BD689" s="8">
        <v>4783.92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0.4451</v>
      </c>
      <c r="BJ689" s="4">
        <v>270</v>
      </c>
      <c r="BK689" s="8">
        <v>4958.94</v>
      </c>
      <c r="BL689" s="2" t="s">
        <v>2298</v>
      </c>
      <c r="BM689" s="7">
        <v>0.063</v>
      </c>
      <c r="BN689" s="7">
        <v>0.0658</v>
      </c>
      <c r="BO689" s="4">
        <v>17</v>
      </c>
      <c r="BP689" s="8">
        <v>326.4</v>
      </c>
      <c r="BQ689" s="4"/>
      <c r="BR689" s="8"/>
      <c r="BS689" s="7"/>
      <c r="BT689" s="7"/>
      <c r="BU689" s="2" t="s">
        <v>107</v>
      </c>
      <c r="BV689" s="2" t="s">
        <v>108</v>
      </c>
      <c r="BW689" s="2" t="s">
        <v>2185</v>
      </c>
      <c r="BX689" s="2" t="s">
        <v>2299</v>
      </c>
      <c r="BY689" s="2" t="s">
        <v>111</v>
      </c>
    </row>
    <row r="690">
      <c r="A690" s="2" t="s">
        <v>2300</v>
      </c>
      <c r="B690" s="2" t="s">
        <v>86</v>
      </c>
      <c r="C690" s="2" t="s">
        <v>2106</v>
      </c>
      <c r="D690" s="2" t="s">
        <v>88</v>
      </c>
      <c r="E690" s="2" t="s">
        <v>88</v>
      </c>
      <c r="F690" s="2" t="s">
        <v>2293</v>
      </c>
      <c r="G690" s="2" t="s">
        <v>2294</v>
      </c>
      <c r="H690" s="2" t="s">
        <v>2295</v>
      </c>
      <c r="I690" s="2" t="s">
        <v>2296</v>
      </c>
      <c r="J690" s="2" t="s">
        <v>113</v>
      </c>
      <c r="K690" s="2" t="s">
        <v>137</v>
      </c>
      <c r="L690" s="3">
        <v>18.5</v>
      </c>
      <c r="M690" s="3">
        <v>19.42</v>
      </c>
      <c r="N690" s="3">
        <v>44.99</v>
      </c>
      <c r="O690" s="2" t="s">
        <v>95</v>
      </c>
      <c r="P690" s="2" t="s">
        <v>150</v>
      </c>
      <c r="Q690" s="2" t="s">
        <v>97</v>
      </c>
      <c r="R690" s="2" t="s">
        <v>98</v>
      </c>
      <c r="S690" s="2" t="s">
        <v>2297</v>
      </c>
      <c r="T690" s="2" t="s">
        <v>98</v>
      </c>
      <c r="U690" s="2" t="s">
        <v>100</v>
      </c>
      <c r="V690" s="2" t="s">
        <v>2050</v>
      </c>
      <c r="W690" s="2" t="s">
        <v>98</v>
      </c>
      <c r="X690" s="2" t="s">
        <v>130</v>
      </c>
      <c r="Y690" s="2" t="s">
        <v>2232</v>
      </c>
      <c r="Z690" s="4">
        <v>174</v>
      </c>
      <c r="AA690" s="4">
        <f>=ROUNDDOWN(7.25,0)</f>
      </c>
      <c r="AB690" s="5">
        <v>24</v>
      </c>
      <c r="AC690" s="2" t="s">
        <v>264</v>
      </c>
      <c r="AD690" s="4">
        <v>396</v>
      </c>
      <c r="AE690" s="4">
        <v>396</v>
      </c>
      <c r="AF690" s="6">
        <v>68</v>
      </c>
      <c r="AG690" s="6"/>
      <c r="AH690" s="7">
        <v>0.7556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58</v>
      </c>
      <c r="AQ690" s="8">
        <v>1226.7</v>
      </c>
      <c r="AR690" s="4"/>
      <c r="AS690" s="8"/>
      <c r="AT690" s="7"/>
      <c r="AU690" s="7"/>
      <c r="AV690" s="4" t="s">
        <v>98</v>
      </c>
      <c r="AW690" s="8" t="s">
        <v>98</v>
      </c>
      <c r="AX690" s="4" t="s">
        <v>98</v>
      </c>
      <c r="AY690" s="8" t="s">
        <v>98</v>
      </c>
      <c r="AZ690" s="7" t="s">
        <v>98</v>
      </c>
      <c r="BA690" s="7" t="s">
        <v>98</v>
      </c>
      <c r="BB690" s="7">
        <v>0.5762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 t="s">
        <v>98</v>
      </c>
      <c r="BJ690" s="4">
        <v>172</v>
      </c>
      <c r="BK690" s="8">
        <v>3549.77</v>
      </c>
      <c r="BL690" s="2" t="s">
        <v>2298</v>
      </c>
      <c r="BM690" s="7">
        <v>0.3372</v>
      </c>
      <c r="BN690" s="7">
        <v>0.3456</v>
      </c>
      <c r="BO690" s="4">
        <v>58</v>
      </c>
      <c r="BP690" s="8">
        <v>1226.7</v>
      </c>
      <c r="BQ690" s="4"/>
      <c r="BR690" s="8"/>
      <c r="BS690" s="7"/>
      <c r="BT690" s="7"/>
      <c r="BU690" s="2" t="s">
        <v>107</v>
      </c>
      <c r="BV690" s="2" t="s">
        <v>108</v>
      </c>
      <c r="BW690" s="2" t="s">
        <v>2185</v>
      </c>
      <c r="BX690" s="2" t="s">
        <v>2301</v>
      </c>
      <c r="BY690" s="2" t="s">
        <v>111</v>
      </c>
    </row>
    <row r="691">
      <c r="A691" s="2" t="s">
        <v>2302</v>
      </c>
      <c r="B691" s="2" t="s">
        <v>86</v>
      </c>
      <c r="C691" s="2" t="s">
        <v>2106</v>
      </c>
      <c r="D691" s="2" t="s">
        <v>88</v>
      </c>
      <c r="E691" s="2" t="s">
        <v>88</v>
      </c>
      <c r="F691" s="2" t="s">
        <v>2293</v>
      </c>
      <c r="G691" s="2" t="s">
        <v>2294</v>
      </c>
      <c r="H691" s="2" t="s">
        <v>2295</v>
      </c>
      <c r="I691" s="2" t="s">
        <v>2296</v>
      </c>
      <c r="J691" s="2" t="s">
        <v>118</v>
      </c>
      <c r="K691" s="2" t="s">
        <v>137</v>
      </c>
      <c r="L691" s="3">
        <v>21</v>
      </c>
      <c r="M691" s="3">
        <v>22.05</v>
      </c>
      <c r="N691" s="3">
        <v>49.99</v>
      </c>
      <c r="O691" s="2" t="s">
        <v>95</v>
      </c>
      <c r="P691" s="2" t="s">
        <v>150</v>
      </c>
      <c r="Q691" s="2" t="s">
        <v>97</v>
      </c>
      <c r="R691" s="2" t="s">
        <v>98</v>
      </c>
      <c r="S691" s="2" t="s">
        <v>2297</v>
      </c>
      <c r="T691" s="2" t="s">
        <v>98</v>
      </c>
      <c r="U691" s="2" t="s">
        <v>100</v>
      </c>
      <c r="V691" s="2" t="s">
        <v>2050</v>
      </c>
      <c r="W691" s="2" t="s">
        <v>98</v>
      </c>
      <c r="X691" s="2" t="s">
        <v>130</v>
      </c>
      <c r="Y691" s="2" t="s">
        <v>2232</v>
      </c>
      <c r="Z691" s="4">
        <v>339</v>
      </c>
      <c r="AA691" s="4">
        <f>=ROUNDDOWN(30.8181818181818,0)</f>
      </c>
      <c r="AB691" s="5">
        <v>11</v>
      </c>
      <c r="AC691" s="2" t="s">
        <v>264</v>
      </c>
      <c r="AD691" s="4">
        <v>152</v>
      </c>
      <c r="AE691" s="4">
        <v>152</v>
      </c>
      <c r="AF691" s="6">
        <v>68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24</v>
      </c>
      <c r="AQ691" s="8">
        <v>576</v>
      </c>
      <c r="AR691" s="4"/>
      <c r="AS691" s="8"/>
      <c r="AT691" s="7"/>
      <c r="AU691" s="7"/>
      <c r="AV691" s="4" t="s">
        <v>98</v>
      </c>
      <c r="AW691" s="8" t="s">
        <v>98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>
        <v>0.2705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 t="s">
        <v>98</v>
      </c>
      <c r="BJ691" s="4">
        <v>142</v>
      </c>
      <c r="BK691" s="8">
        <v>3289.07</v>
      </c>
      <c r="BL691" s="2" t="s">
        <v>2303</v>
      </c>
      <c r="BM691" s="7">
        <v>0.169</v>
      </c>
      <c r="BN691" s="7">
        <v>0.1751</v>
      </c>
      <c r="BO691" s="4">
        <v>24</v>
      </c>
      <c r="BP691" s="8">
        <v>576</v>
      </c>
      <c r="BQ691" s="4"/>
      <c r="BR691" s="8"/>
      <c r="BS691" s="7"/>
      <c r="BT691" s="7"/>
      <c r="BU691" s="2" t="s">
        <v>107</v>
      </c>
      <c r="BV691" s="2" t="s">
        <v>108</v>
      </c>
      <c r="BW691" s="2" t="s">
        <v>2185</v>
      </c>
      <c r="BX691" s="2" t="s">
        <v>2304</v>
      </c>
      <c r="BY691" s="2" t="s">
        <v>111</v>
      </c>
    </row>
    <row r="692">
      <c r="A692" s="2" t="s">
        <v>2305</v>
      </c>
      <c r="B692" s="2" t="s">
        <v>86</v>
      </c>
      <c r="C692" s="2" t="s">
        <v>2106</v>
      </c>
      <c r="D692" s="2" t="s">
        <v>88</v>
      </c>
      <c r="E692" s="2" t="s">
        <v>88</v>
      </c>
      <c r="F692" s="2" t="s">
        <v>2293</v>
      </c>
      <c r="G692" s="2" t="s">
        <v>2294</v>
      </c>
      <c r="H692" s="2" t="s">
        <v>2295</v>
      </c>
      <c r="I692" s="2" t="s">
        <v>2296</v>
      </c>
      <c r="J692" s="2" t="s">
        <v>93</v>
      </c>
      <c r="K692" s="2" t="s">
        <v>94</v>
      </c>
      <c r="L692" s="3">
        <v>16.8</v>
      </c>
      <c r="M692" s="3">
        <v>17.64</v>
      </c>
      <c r="N692" s="3">
        <v>39.99</v>
      </c>
      <c r="O692" s="2" t="s">
        <v>95</v>
      </c>
      <c r="P692" s="2" t="s">
        <v>150</v>
      </c>
      <c r="Q692" s="2" t="s">
        <v>97</v>
      </c>
      <c r="R692" s="2" t="s">
        <v>98</v>
      </c>
      <c r="S692" s="2" t="s">
        <v>2306</v>
      </c>
      <c r="T692" s="2" t="s">
        <v>98</v>
      </c>
      <c r="U692" s="2" t="s">
        <v>100</v>
      </c>
      <c r="V692" s="2" t="s">
        <v>2050</v>
      </c>
      <c r="W692" s="2" t="s">
        <v>98</v>
      </c>
      <c r="X692" s="2" t="s">
        <v>130</v>
      </c>
      <c r="Y692" s="2" t="s">
        <v>2232</v>
      </c>
      <c r="Z692" s="4">
        <v>334</v>
      </c>
      <c r="AA692" s="4">
        <f>=ROUNDDOWN(17.3958333333333,0)</f>
      </c>
      <c r="AB692" s="5">
        <v>19.2</v>
      </c>
      <c r="AC692" s="2" t="s">
        <v>264</v>
      </c>
      <c r="AD692" s="4">
        <v>272</v>
      </c>
      <c r="AE692" s="4">
        <v>272</v>
      </c>
      <c r="AF692" s="6">
        <v>68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55</v>
      </c>
      <c r="AQ692" s="8">
        <v>970.2</v>
      </c>
      <c r="AR692" s="4"/>
      <c r="AS692" s="8"/>
      <c r="AT692" s="7"/>
      <c r="AU692" s="7"/>
      <c r="AV692" s="4">
        <v>93</v>
      </c>
      <c r="AW692" s="8">
        <v>1708.16</v>
      </c>
      <c r="AX692" s="4" t="s">
        <v>98</v>
      </c>
      <c r="AY692" s="8" t="s">
        <v>98</v>
      </c>
      <c r="AZ692" s="7" t="s">
        <v>98</v>
      </c>
      <c r="BA692" s="7" t="s">
        <v>98</v>
      </c>
      <c r="BB692" s="7">
        <v>0.568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0.3571</v>
      </c>
      <c r="BJ692" s="4">
        <v>248</v>
      </c>
      <c r="BK692" s="8">
        <v>4482.15</v>
      </c>
      <c r="BL692" s="2" t="s">
        <v>2298</v>
      </c>
      <c r="BM692" s="7">
        <v>0.2218</v>
      </c>
      <c r="BN692" s="7">
        <v>0.2165</v>
      </c>
      <c r="BO692" s="4">
        <v>55</v>
      </c>
      <c r="BP692" s="8">
        <v>970.2</v>
      </c>
      <c r="BQ692" s="4"/>
      <c r="BR692" s="8"/>
      <c r="BS692" s="7"/>
      <c r="BT692" s="7"/>
      <c r="BU692" s="2" t="s">
        <v>107</v>
      </c>
      <c r="BV692" s="2" t="s">
        <v>108</v>
      </c>
      <c r="BW692" s="2" t="s">
        <v>2185</v>
      </c>
      <c r="BX692" s="2" t="s">
        <v>2307</v>
      </c>
      <c r="BY692" s="2" t="s">
        <v>111</v>
      </c>
    </row>
    <row r="693">
      <c r="A693" s="2" t="s">
        <v>2308</v>
      </c>
      <c r="B693" s="2" t="s">
        <v>86</v>
      </c>
      <c r="C693" s="2" t="s">
        <v>2106</v>
      </c>
      <c r="D693" s="2" t="s">
        <v>88</v>
      </c>
      <c r="E693" s="2" t="s">
        <v>88</v>
      </c>
      <c r="F693" s="2" t="s">
        <v>2293</v>
      </c>
      <c r="G693" s="2" t="s">
        <v>2294</v>
      </c>
      <c r="H693" s="2" t="s">
        <v>2295</v>
      </c>
      <c r="I693" s="2" t="s">
        <v>2296</v>
      </c>
      <c r="J693" s="2" t="s">
        <v>113</v>
      </c>
      <c r="K693" s="2" t="s">
        <v>94</v>
      </c>
      <c r="L693" s="3">
        <v>18.5</v>
      </c>
      <c r="M693" s="3">
        <v>19.42</v>
      </c>
      <c r="N693" s="3">
        <v>44.99</v>
      </c>
      <c r="O693" s="2" t="s">
        <v>95</v>
      </c>
      <c r="P693" s="2" t="s">
        <v>150</v>
      </c>
      <c r="Q693" s="2" t="s">
        <v>97</v>
      </c>
      <c r="R693" s="2" t="s">
        <v>98</v>
      </c>
      <c r="S693" s="2" t="s">
        <v>2306</v>
      </c>
      <c r="T693" s="2" t="s">
        <v>98</v>
      </c>
      <c r="U693" s="2" t="s">
        <v>100</v>
      </c>
      <c r="V693" s="2" t="s">
        <v>2050</v>
      </c>
      <c r="W693" s="2" t="s">
        <v>98</v>
      </c>
      <c r="X693" s="2" t="s">
        <v>130</v>
      </c>
      <c r="Y693" s="2" t="s">
        <v>2232</v>
      </c>
      <c r="Z693" s="4">
        <v>264</v>
      </c>
      <c r="AA693" s="4">
        <f>=ROUNDDOWN(26.4,0)</f>
      </c>
      <c r="AB693" s="5">
        <v>10</v>
      </c>
      <c r="AC693" s="2" t="s">
        <v>98</v>
      </c>
      <c r="AD693" s="4"/>
      <c r="AE693" s="4"/>
      <c r="AF693" s="6">
        <v>68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38</v>
      </c>
      <c r="AQ693" s="8">
        <v>737.96</v>
      </c>
      <c r="AR693" s="4"/>
      <c r="AS693" s="8"/>
      <c r="AT693" s="7"/>
      <c r="AU693" s="7"/>
      <c r="AV693" s="4" t="s">
        <v>98</v>
      </c>
      <c r="AW693" s="8" t="s">
        <v>98</v>
      </c>
      <c r="AX693" s="4" t="s">
        <v>98</v>
      </c>
      <c r="AY693" s="8" t="s">
        <v>98</v>
      </c>
      <c r="AZ693" s="7" t="s">
        <v>98</v>
      </c>
      <c r="BA693" s="7" t="s">
        <v>98</v>
      </c>
      <c r="BB693" s="7">
        <v>0.432</v>
      </c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 t="s">
        <v>98</v>
      </c>
      <c r="BJ693" s="4">
        <v>134</v>
      </c>
      <c r="BK693" s="8">
        <v>2704.28</v>
      </c>
      <c r="BL693" s="2" t="s">
        <v>2303</v>
      </c>
      <c r="BM693" s="7">
        <v>0.2836</v>
      </c>
      <c r="BN693" s="7">
        <v>0.2729</v>
      </c>
      <c r="BO693" s="4">
        <v>38</v>
      </c>
      <c r="BP693" s="8">
        <v>737.96</v>
      </c>
      <c r="BQ693" s="4"/>
      <c r="BR693" s="8"/>
      <c r="BS693" s="7"/>
      <c r="BT693" s="7"/>
      <c r="BU693" s="2" t="s">
        <v>107</v>
      </c>
      <c r="BV693" s="2" t="s">
        <v>108</v>
      </c>
      <c r="BW693" s="2" t="s">
        <v>2185</v>
      </c>
      <c r="BX693" s="2" t="s">
        <v>2186</v>
      </c>
      <c r="BY693" s="2" t="s">
        <v>111</v>
      </c>
    </row>
    <row r="694">
      <c r="A694" s="2" t="s">
        <v>2309</v>
      </c>
      <c r="B694" s="2" t="s">
        <v>86</v>
      </c>
      <c r="C694" s="2" t="s">
        <v>2106</v>
      </c>
      <c r="D694" s="2" t="s">
        <v>88</v>
      </c>
      <c r="E694" s="2" t="s">
        <v>88</v>
      </c>
      <c r="F694" s="2" t="s">
        <v>2293</v>
      </c>
      <c r="G694" s="2" t="s">
        <v>2294</v>
      </c>
      <c r="H694" s="2" t="s">
        <v>2295</v>
      </c>
      <c r="I694" s="2" t="s">
        <v>2296</v>
      </c>
      <c r="J694" s="2" t="s">
        <v>118</v>
      </c>
      <c r="K694" s="2" t="s">
        <v>94</v>
      </c>
      <c r="L694" s="3">
        <v>21</v>
      </c>
      <c r="M694" s="3">
        <v>22.05</v>
      </c>
      <c r="N694" s="3">
        <v>49.99</v>
      </c>
      <c r="O694" s="2" t="s">
        <v>95</v>
      </c>
      <c r="P694" s="2" t="s">
        <v>150</v>
      </c>
      <c r="Q694" s="2" t="s">
        <v>97</v>
      </c>
      <c r="R694" s="2" t="s">
        <v>98</v>
      </c>
      <c r="S694" s="2" t="s">
        <v>2306</v>
      </c>
      <c r="T694" s="2" t="s">
        <v>98</v>
      </c>
      <c r="U694" s="2" t="s">
        <v>100</v>
      </c>
      <c r="V694" s="2" t="s">
        <v>2050</v>
      </c>
      <c r="W694" s="2" t="s">
        <v>98</v>
      </c>
      <c r="X694" s="2" t="s">
        <v>130</v>
      </c>
      <c r="Y694" s="2" t="s">
        <v>2232</v>
      </c>
      <c r="Z694" s="4">
        <v>226</v>
      </c>
      <c r="AA694" s="4">
        <f>=ROUNDDOWN(37.6666666666667,0)</f>
      </c>
      <c r="AB694" s="5">
        <v>6</v>
      </c>
      <c r="AC694" s="2" t="s">
        <v>264</v>
      </c>
      <c r="AD694" s="4">
        <v>80</v>
      </c>
      <c r="AE694" s="4">
        <v>80</v>
      </c>
      <c r="AF694" s="6">
        <v>68</v>
      </c>
      <c r="AG694" s="6"/>
      <c r="AH694" s="7">
        <v>0.7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 t="s">
        <v>98</v>
      </c>
      <c r="AW694" s="8" t="s">
        <v>98</v>
      </c>
      <c r="AX694" s="4" t="s">
        <v>98</v>
      </c>
      <c r="AY694" s="8" t="s">
        <v>98</v>
      </c>
      <c r="AZ694" s="7" t="s">
        <v>98</v>
      </c>
      <c r="BA694" s="7" t="s">
        <v>98</v>
      </c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 t="s">
        <v>98</v>
      </c>
      <c r="BJ694" s="4">
        <v>49</v>
      </c>
      <c r="BK694" s="8">
        <v>1130.14</v>
      </c>
      <c r="BL694" s="2" t="s">
        <v>2310</v>
      </c>
      <c r="BM694" s="7"/>
      <c r="BN694" s="7"/>
      <c r="BO694" s="4"/>
      <c r="BP694" s="8"/>
      <c r="BQ694" s="4"/>
      <c r="BR694" s="8"/>
      <c r="BS694" s="7"/>
      <c r="BT694" s="7"/>
      <c r="BU694" s="2" t="s">
        <v>107</v>
      </c>
      <c r="BV694" s="2" t="s">
        <v>108</v>
      </c>
      <c r="BW694" s="2" t="s">
        <v>2185</v>
      </c>
      <c r="BX694" s="2" t="s">
        <v>2311</v>
      </c>
      <c r="BY694" s="2" t="s">
        <v>111</v>
      </c>
    </row>
    <row r="695">
      <c r="A695" s="2" t="s">
        <v>2312</v>
      </c>
      <c r="B695" s="2" t="s">
        <v>86</v>
      </c>
      <c r="C695" s="2" t="s">
        <v>2106</v>
      </c>
      <c r="D695" s="2" t="s">
        <v>88</v>
      </c>
      <c r="E695" s="2" t="s">
        <v>88</v>
      </c>
      <c r="F695" s="2" t="s">
        <v>2293</v>
      </c>
      <c r="G695" s="2" t="s">
        <v>2294</v>
      </c>
      <c r="H695" s="2" t="s">
        <v>2295</v>
      </c>
      <c r="I695" s="2" t="s">
        <v>2296</v>
      </c>
      <c r="J695" s="2" t="s">
        <v>93</v>
      </c>
      <c r="K695" s="2" t="s">
        <v>299</v>
      </c>
      <c r="L695" s="3">
        <v>16.8</v>
      </c>
      <c r="M695" s="3">
        <v>17.64</v>
      </c>
      <c r="N695" s="3">
        <v>39.99</v>
      </c>
      <c r="O695" s="2" t="s">
        <v>95</v>
      </c>
      <c r="P695" s="2" t="s">
        <v>150</v>
      </c>
      <c r="Q695" s="2" t="s">
        <v>97</v>
      </c>
      <c r="R695" s="2" t="s">
        <v>98</v>
      </c>
      <c r="S695" s="2" t="s">
        <v>2313</v>
      </c>
      <c r="T695" s="2" t="s">
        <v>98</v>
      </c>
      <c r="U695" s="2" t="s">
        <v>100</v>
      </c>
      <c r="V695" s="2" t="s">
        <v>2050</v>
      </c>
      <c r="W695" s="2" t="s">
        <v>98</v>
      </c>
      <c r="X695" s="2" t="s">
        <v>130</v>
      </c>
      <c r="Y695" s="2" t="s">
        <v>2232</v>
      </c>
      <c r="Z695" s="4">
        <v>378</v>
      </c>
      <c r="AA695" s="4">
        <f>=ROUNDDOWN(37.8,0)</f>
      </c>
      <c r="AB695" s="5">
        <v>10</v>
      </c>
      <c r="AC695" s="2" t="s">
        <v>2113</v>
      </c>
      <c r="AD695" s="4">
        <v>212</v>
      </c>
      <c r="AE695" s="4">
        <v>356</v>
      </c>
      <c r="AF695" s="6">
        <v>68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11</v>
      </c>
      <c r="AQ695" s="8">
        <v>211.2</v>
      </c>
      <c r="AR695" s="4"/>
      <c r="AS695" s="8"/>
      <c r="AT695" s="7"/>
      <c r="AU695" s="7"/>
      <c r="AV695" s="4">
        <v>32</v>
      </c>
      <c r="AW695" s="8">
        <v>669.6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>
        <v>0.3154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0.14</v>
      </c>
      <c r="BJ695" s="4">
        <v>239</v>
      </c>
      <c r="BK695" s="8">
        <v>4417.07</v>
      </c>
      <c r="BL695" s="2" t="s">
        <v>2298</v>
      </c>
      <c r="BM695" s="7">
        <v>0.046</v>
      </c>
      <c r="BN695" s="7">
        <v>0.0478</v>
      </c>
      <c r="BO695" s="4">
        <v>11</v>
      </c>
      <c r="BP695" s="8">
        <v>211.2</v>
      </c>
      <c r="BQ695" s="4"/>
      <c r="BR695" s="8"/>
      <c r="BS695" s="7"/>
      <c r="BT695" s="7"/>
      <c r="BU695" s="2" t="s">
        <v>107</v>
      </c>
      <c r="BV695" s="2" t="s">
        <v>108</v>
      </c>
      <c r="BW695" s="2" t="s">
        <v>2185</v>
      </c>
      <c r="BX695" s="2" t="s">
        <v>2186</v>
      </c>
      <c r="BY695" s="2" t="s">
        <v>111</v>
      </c>
    </row>
    <row r="696">
      <c r="A696" s="2" t="s">
        <v>2314</v>
      </c>
      <c r="B696" s="2" t="s">
        <v>86</v>
      </c>
      <c r="C696" s="2" t="s">
        <v>2106</v>
      </c>
      <c r="D696" s="2" t="s">
        <v>88</v>
      </c>
      <c r="E696" s="2" t="s">
        <v>88</v>
      </c>
      <c r="F696" s="2" t="s">
        <v>2293</v>
      </c>
      <c r="G696" s="2" t="s">
        <v>2294</v>
      </c>
      <c r="H696" s="2" t="s">
        <v>2295</v>
      </c>
      <c r="I696" s="2" t="s">
        <v>2296</v>
      </c>
      <c r="J696" s="2" t="s">
        <v>113</v>
      </c>
      <c r="K696" s="2" t="s">
        <v>299</v>
      </c>
      <c r="L696" s="3">
        <v>18.5</v>
      </c>
      <c r="M696" s="3">
        <v>19.42</v>
      </c>
      <c r="N696" s="3">
        <v>44.99</v>
      </c>
      <c r="O696" s="2" t="s">
        <v>95</v>
      </c>
      <c r="P696" s="2" t="s">
        <v>150</v>
      </c>
      <c r="Q696" s="2" t="s">
        <v>97</v>
      </c>
      <c r="R696" s="2" t="s">
        <v>98</v>
      </c>
      <c r="S696" s="2" t="s">
        <v>2313</v>
      </c>
      <c r="T696" s="2" t="s">
        <v>98</v>
      </c>
      <c r="U696" s="2" t="s">
        <v>100</v>
      </c>
      <c r="V696" s="2" t="s">
        <v>2050</v>
      </c>
      <c r="W696" s="2" t="s">
        <v>98</v>
      </c>
      <c r="X696" s="2" t="s">
        <v>130</v>
      </c>
      <c r="Y696" s="2" t="s">
        <v>2232</v>
      </c>
      <c r="Z696" s="4">
        <v>184</v>
      </c>
      <c r="AA696" s="4">
        <f>=ROUNDDOWN(15.3333333333333,0)</f>
      </c>
      <c r="AB696" s="5">
        <v>12</v>
      </c>
      <c r="AC696" s="2" t="s">
        <v>2113</v>
      </c>
      <c r="AD696" s="4">
        <v>184</v>
      </c>
      <c r="AE696" s="4">
        <v>264</v>
      </c>
      <c r="AF696" s="6">
        <v>68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16</v>
      </c>
      <c r="AQ696" s="8">
        <v>338.4</v>
      </c>
      <c r="AR696" s="4"/>
      <c r="AS696" s="8"/>
      <c r="AT696" s="7"/>
      <c r="AU696" s="7"/>
      <c r="AV696" s="4" t="s">
        <v>98</v>
      </c>
      <c r="AW696" s="8" t="s">
        <v>98</v>
      </c>
      <c r="AX696" s="4" t="s">
        <v>98</v>
      </c>
      <c r="AY696" s="8" t="s">
        <v>98</v>
      </c>
      <c r="AZ696" s="7" t="s">
        <v>98</v>
      </c>
      <c r="BA696" s="7" t="s">
        <v>98</v>
      </c>
      <c r="BB696" s="7">
        <v>0.5054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 t="s">
        <v>98</v>
      </c>
      <c r="BJ696" s="4">
        <v>87</v>
      </c>
      <c r="BK696" s="8">
        <v>1768.08</v>
      </c>
      <c r="BL696" s="2" t="s">
        <v>2315</v>
      </c>
      <c r="BM696" s="7">
        <v>0.1839</v>
      </c>
      <c r="BN696" s="7">
        <v>0.1914</v>
      </c>
      <c r="BO696" s="4">
        <v>16</v>
      </c>
      <c r="BP696" s="8">
        <v>338.4</v>
      </c>
      <c r="BQ696" s="4"/>
      <c r="BR696" s="8"/>
      <c r="BS696" s="7"/>
      <c r="BT696" s="7"/>
      <c r="BU696" s="2" t="s">
        <v>107</v>
      </c>
      <c r="BV696" s="2" t="s">
        <v>108</v>
      </c>
      <c r="BW696" s="2" t="s">
        <v>2185</v>
      </c>
      <c r="BX696" s="2" t="s">
        <v>2307</v>
      </c>
      <c r="BY696" s="2" t="s">
        <v>111</v>
      </c>
    </row>
    <row r="697">
      <c r="A697" s="2" t="s">
        <v>2316</v>
      </c>
      <c r="B697" s="2" t="s">
        <v>86</v>
      </c>
      <c r="C697" s="2" t="s">
        <v>2106</v>
      </c>
      <c r="D697" s="2" t="s">
        <v>88</v>
      </c>
      <c r="E697" s="2" t="s">
        <v>88</v>
      </c>
      <c r="F697" s="2" t="s">
        <v>2293</v>
      </c>
      <c r="G697" s="2" t="s">
        <v>2294</v>
      </c>
      <c r="H697" s="2" t="s">
        <v>2295</v>
      </c>
      <c r="I697" s="2" t="s">
        <v>2296</v>
      </c>
      <c r="J697" s="2" t="s">
        <v>118</v>
      </c>
      <c r="K697" s="2" t="s">
        <v>299</v>
      </c>
      <c r="L697" s="3">
        <v>21</v>
      </c>
      <c r="M697" s="3">
        <v>22.05</v>
      </c>
      <c r="N697" s="3">
        <v>49.99</v>
      </c>
      <c r="O697" s="2" t="s">
        <v>95</v>
      </c>
      <c r="P697" s="2" t="s">
        <v>215</v>
      </c>
      <c r="Q697" s="2" t="s">
        <v>97</v>
      </c>
      <c r="R697" s="2" t="s">
        <v>98</v>
      </c>
      <c r="S697" s="2" t="s">
        <v>2313</v>
      </c>
      <c r="T697" s="2" t="s">
        <v>98</v>
      </c>
      <c r="U697" s="2" t="s">
        <v>100</v>
      </c>
      <c r="V697" s="2" t="s">
        <v>2050</v>
      </c>
      <c r="W697" s="2" t="s">
        <v>98</v>
      </c>
      <c r="X697" s="2" t="s">
        <v>649</v>
      </c>
      <c r="Y697" s="2" t="s">
        <v>2232</v>
      </c>
      <c r="Z697" s="4">
        <v>226</v>
      </c>
      <c r="AA697" s="4">
        <f>=ROUNDDOWN(55.1219512195122,0)</f>
      </c>
      <c r="AB697" s="5">
        <v>4.1</v>
      </c>
      <c r="AC697" s="2" t="s">
        <v>98</v>
      </c>
      <c r="AD697" s="4"/>
      <c r="AE697" s="4"/>
      <c r="AF697" s="6">
        <v>68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5</v>
      </c>
      <c r="AQ697" s="8">
        <v>120</v>
      </c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>
        <v>0.1792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 t="s">
        <v>98</v>
      </c>
      <c r="BJ697" s="4">
        <v>54</v>
      </c>
      <c r="BK697" s="8">
        <v>1226.51</v>
      </c>
      <c r="BL697" s="2" t="s">
        <v>2317</v>
      </c>
      <c r="BM697" s="7">
        <v>0.0926</v>
      </c>
      <c r="BN697" s="7">
        <v>0.0978</v>
      </c>
      <c r="BO697" s="4">
        <v>5</v>
      </c>
      <c r="BP697" s="8">
        <v>120</v>
      </c>
      <c r="BQ697" s="4"/>
      <c r="BR697" s="8"/>
      <c r="BS697" s="7"/>
      <c r="BT697" s="7"/>
      <c r="BU697" s="2" t="s">
        <v>107</v>
      </c>
      <c r="BV697" s="2" t="s">
        <v>108</v>
      </c>
      <c r="BW697" s="2" t="s">
        <v>2185</v>
      </c>
      <c r="BX697" s="2" t="s">
        <v>2318</v>
      </c>
      <c r="BY697" s="2" t="s">
        <v>111</v>
      </c>
    </row>
    <row r="698">
      <c r="A698" s="2" t="s">
        <v>2319</v>
      </c>
      <c r="B698" s="2" t="s">
        <v>86</v>
      </c>
      <c r="C698" s="2" t="s">
        <v>2106</v>
      </c>
      <c r="D698" s="2" t="s">
        <v>88</v>
      </c>
      <c r="E698" s="2" t="s">
        <v>88</v>
      </c>
      <c r="F698" s="2" t="s">
        <v>2293</v>
      </c>
      <c r="G698" s="2" t="s">
        <v>2294</v>
      </c>
      <c r="H698" s="2" t="s">
        <v>2295</v>
      </c>
      <c r="I698" s="2" t="s">
        <v>2296</v>
      </c>
      <c r="J698" s="2" t="s">
        <v>93</v>
      </c>
      <c r="K698" s="2" t="s">
        <v>458</v>
      </c>
      <c r="L698" s="3">
        <v>16.8</v>
      </c>
      <c r="M698" s="3">
        <v>17.64</v>
      </c>
      <c r="N698" s="3">
        <v>39.99</v>
      </c>
      <c r="O698" s="2" t="s">
        <v>95</v>
      </c>
      <c r="P698" s="2" t="s">
        <v>150</v>
      </c>
      <c r="Q698" s="2" t="s">
        <v>97</v>
      </c>
      <c r="R698" s="2" t="s">
        <v>98</v>
      </c>
      <c r="S698" s="2" t="s">
        <v>2320</v>
      </c>
      <c r="T698" s="2" t="s">
        <v>98</v>
      </c>
      <c r="U698" s="2" t="s">
        <v>100</v>
      </c>
      <c r="V698" s="2" t="s">
        <v>2050</v>
      </c>
      <c r="W698" s="2" t="s">
        <v>98</v>
      </c>
      <c r="X698" s="2" t="s">
        <v>130</v>
      </c>
      <c r="Y698" s="2" t="s">
        <v>2232</v>
      </c>
      <c r="Z698" s="4">
        <v>339</v>
      </c>
      <c r="AA698" s="4">
        <f>=ROUNDDOWN(37.6666666666667,0)</f>
      </c>
      <c r="AB698" s="5">
        <v>9</v>
      </c>
      <c r="AC698" s="2" t="s">
        <v>2113</v>
      </c>
      <c r="AD698" s="4">
        <v>200</v>
      </c>
      <c r="AE698" s="4">
        <v>312</v>
      </c>
      <c r="AF698" s="6">
        <v>68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8</v>
      </c>
      <c r="AQ698" s="8">
        <v>141.12</v>
      </c>
      <c r="AR698" s="4"/>
      <c r="AS698" s="8"/>
      <c r="AT698" s="7"/>
      <c r="AU698" s="7"/>
      <c r="AV698" s="4">
        <v>15</v>
      </c>
      <c r="AW698" s="8">
        <v>277.06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>
        <v>0.5093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0.0579</v>
      </c>
      <c r="BJ698" s="4">
        <v>154</v>
      </c>
      <c r="BK698" s="8">
        <v>2838.8</v>
      </c>
      <c r="BL698" s="2" t="s">
        <v>2298</v>
      </c>
      <c r="BM698" s="7">
        <v>0.0519</v>
      </c>
      <c r="BN698" s="7">
        <v>0.0497</v>
      </c>
      <c r="BO698" s="4">
        <v>8</v>
      </c>
      <c r="BP698" s="8">
        <v>141.12</v>
      </c>
      <c r="BQ698" s="4"/>
      <c r="BR698" s="8"/>
      <c r="BS698" s="7"/>
      <c r="BT698" s="7"/>
      <c r="BU698" s="2" t="s">
        <v>107</v>
      </c>
      <c r="BV698" s="2" t="s">
        <v>108</v>
      </c>
      <c r="BW698" s="2" t="s">
        <v>2185</v>
      </c>
      <c r="BX698" s="2" t="s">
        <v>2299</v>
      </c>
      <c r="BY698" s="2" t="s">
        <v>111</v>
      </c>
    </row>
    <row r="699">
      <c r="A699" s="2" t="s">
        <v>2321</v>
      </c>
      <c r="B699" s="2" t="s">
        <v>86</v>
      </c>
      <c r="C699" s="2" t="s">
        <v>2106</v>
      </c>
      <c r="D699" s="2" t="s">
        <v>88</v>
      </c>
      <c r="E699" s="2" t="s">
        <v>88</v>
      </c>
      <c r="F699" s="2" t="s">
        <v>2293</v>
      </c>
      <c r="G699" s="2" t="s">
        <v>2294</v>
      </c>
      <c r="H699" s="2" t="s">
        <v>2295</v>
      </c>
      <c r="I699" s="2" t="s">
        <v>2296</v>
      </c>
      <c r="J699" s="2" t="s">
        <v>113</v>
      </c>
      <c r="K699" s="2" t="s">
        <v>458</v>
      </c>
      <c r="L699" s="3">
        <v>18.5</v>
      </c>
      <c r="M699" s="3">
        <v>19.42</v>
      </c>
      <c r="N699" s="3">
        <v>44.99</v>
      </c>
      <c r="O699" s="2" t="s">
        <v>95</v>
      </c>
      <c r="P699" s="2" t="s">
        <v>150</v>
      </c>
      <c r="Q699" s="2" t="s">
        <v>97</v>
      </c>
      <c r="R699" s="2" t="s">
        <v>98</v>
      </c>
      <c r="S699" s="2" t="s">
        <v>2320</v>
      </c>
      <c r="T699" s="2" t="s">
        <v>98</v>
      </c>
      <c r="U699" s="2" t="s">
        <v>100</v>
      </c>
      <c r="V699" s="2" t="s">
        <v>2050</v>
      </c>
      <c r="W699" s="2" t="s">
        <v>98</v>
      </c>
      <c r="X699" s="2" t="s">
        <v>130</v>
      </c>
      <c r="Y699" s="2" t="s">
        <v>2232</v>
      </c>
      <c r="Z699" s="4">
        <v>222</v>
      </c>
      <c r="AA699" s="4">
        <f>=ROUNDDOWN(37,0)</f>
      </c>
      <c r="AB699" s="5">
        <v>6</v>
      </c>
      <c r="AC699" s="2" t="s">
        <v>1856</v>
      </c>
      <c r="AD699" s="4">
        <v>52</v>
      </c>
      <c r="AE699" s="4">
        <v>52</v>
      </c>
      <c r="AF699" s="6">
        <v>68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7</v>
      </c>
      <c r="AQ699" s="8">
        <v>135.94</v>
      </c>
      <c r="AR699" s="4"/>
      <c r="AS699" s="8"/>
      <c r="AT699" s="7"/>
      <c r="AU699" s="7"/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>
        <v>0.4907</v>
      </c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 t="s">
        <v>98</v>
      </c>
      <c r="BJ699" s="4">
        <v>66</v>
      </c>
      <c r="BK699" s="8">
        <v>1317.33</v>
      </c>
      <c r="BL699" s="2" t="s">
        <v>2322</v>
      </c>
      <c r="BM699" s="7">
        <v>0.1061</v>
      </c>
      <c r="BN699" s="7">
        <v>0.1032</v>
      </c>
      <c r="BO699" s="4">
        <v>7</v>
      </c>
      <c r="BP699" s="8">
        <v>135.94</v>
      </c>
      <c r="BQ699" s="4"/>
      <c r="BR699" s="8"/>
      <c r="BS699" s="7"/>
      <c r="BT699" s="7"/>
      <c r="BU699" s="2" t="s">
        <v>107</v>
      </c>
      <c r="BV699" s="2" t="s">
        <v>108</v>
      </c>
      <c r="BW699" s="2" t="s">
        <v>2185</v>
      </c>
      <c r="BX699" s="2" t="s">
        <v>2323</v>
      </c>
      <c r="BY699" s="2" t="s">
        <v>111</v>
      </c>
    </row>
    <row r="700">
      <c r="A700" s="2" t="s">
        <v>2324</v>
      </c>
      <c r="B700" s="2" t="s">
        <v>86</v>
      </c>
      <c r="C700" s="2" t="s">
        <v>2106</v>
      </c>
      <c r="D700" s="2" t="s">
        <v>88</v>
      </c>
      <c r="E700" s="2" t="s">
        <v>88</v>
      </c>
      <c r="F700" s="2" t="s">
        <v>2293</v>
      </c>
      <c r="G700" s="2" t="s">
        <v>2294</v>
      </c>
      <c r="H700" s="2" t="s">
        <v>2295</v>
      </c>
      <c r="I700" s="2" t="s">
        <v>2296</v>
      </c>
      <c r="J700" s="2" t="s">
        <v>118</v>
      </c>
      <c r="K700" s="2" t="s">
        <v>458</v>
      </c>
      <c r="L700" s="3">
        <v>21</v>
      </c>
      <c r="M700" s="3">
        <v>22.05</v>
      </c>
      <c r="N700" s="3">
        <v>49.99</v>
      </c>
      <c r="O700" s="2" t="s">
        <v>95</v>
      </c>
      <c r="P700" s="2" t="s">
        <v>150</v>
      </c>
      <c r="Q700" s="2" t="s">
        <v>97</v>
      </c>
      <c r="R700" s="2" t="s">
        <v>98</v>
      </c>
      <c r="S700" s="2" t="s">
        <v>2320</v>
      </c>
      <c r="T700" s="2" t="s">
        <v>98</v>
      </c>
      <c r="U700" s="2" t="s">
        <v>100</v>
      </c>
      <c r="V700" s="2" t="s">
        <v>2050</v>
      </c>
      <c r="W700" s="2" t="s">
        <v>98</v>
      </c>
      <c r="X700" s="2" t="s">
        <v>130</v>
      </c>
      <c r="Y700" s="2" t="s">
        <v>2232</v>
      </c>
      <c r="Z700" s="4">
        <v>256</v>
      </c>
      <c r="AA700" s="4">
        <f>=ROUNDDOWN(102.4,0)</f>
      </c>
      <c r="AB700" s="5">
        <v>2.5</v>
      </c>
      <c r="AC700" s="2" t="s">
        <v>250</v>
      </c>
      <c r="AD700" s="4">
        <v>200</v>
      </c>
      <c r="AE700" s="4">
        <v>276</v>
      </c>
      <c r="AF700" s="6">
        <v>68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98</v>
      </c>
      <c r="AW700" s="8" t="s">
        <v>98</v>
      </c>
      <c r="AX700" s="4" t="s">
        <v>98</v>
      </c>
      <c r="AY700" s="8" t="s">
        <v>98</v>
      </c>
      <c r="AZ700" s="7" t="s">
        <v>98</v>
      </c>
      <c r="BA700" s="7" t="s">
        <v>98</v>
      </c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 t="s">
        <v>98</v>
      </c>
      <c r="BJ700" s="4">
        <v>58</v>
      </c>
      <c r="BK700" s="8">
        <v>1337.29</v>
      </c>
      <c r="BL700" s="2" t="s">
        <v>2325</v>
      </c>
      <c r="BM700" s="7"/>
      <c r="BN700" s="7"/>
      <c r="BO700" s="4"/>
      <c r="BP700" s="8"/>
      <c r="BQ700" s="4"/>
      <c r="BR700" s="8"/>
      <c r="BS700" s="7"/>
      <c r="BT700" s="7"/>
      <c r="BU700" s="2" t="s">
        <v>107</v>
      </c>
      <c r="BV700" s="2" t="s">
        <v>108</v>
      </c>
      <c r="BW700" s="2" t="s">
        <v>2185</v>
      </c>
      <c r="BX700" s="2" t="s">
        <v>2304</v>
      </c>
      <c r="BY700" s="2" t="s">
        <v>111</v>
      </c>
    </row>
    <row r="701">
      <c r="A701" s="2" t="s">
        <v>2326</v>
      </c>
      <c r="B701" s="2" t="s">
        <v>86</v>
      </c>
      <c r="C701" s="2" t="s">
        <v>2106</v>
      </c>
      <c r="D701" s="2" t="s">
        <v>88</v>
      </c>
      <c r="E701" s="2" t="s">
        <v>88</v>
      </c>
      <c r="F701" s="2" t="s">
        <v>2327</v>
      </c>
      <c r="G701" s="2" t="s">
        <v>2328</v>
      </c>
      <c r="H701" s="2" t="s">
        <v>2329</v>
      </c>
      <c r="I701" s="2" t="s">
        <v>2330</v>
      </c>
      <c r="J701" s="2" t="s">
        <v>93</v>
      </c>
      <c r="K701" s="2" t="s">
        <v>2331</v>
      </c>
      <c r="L701" s="3">
        <v>22.5</v>
      </c>
      <c r="M701" s="3">
        <v>23.62</v>
      </c>
      <c r="N701" s="3">
        <v>49.99</v>
      </c>
      <c r="O701" s="2" t="s">
        <v>95</v>
      </c>
      <c r="P701" s="2" t="s">
        <v>123</v>
      </c>
      <c r="Q701" s="2" t="s">
        <v>97</v>
      </c>
      <c r="R701" s="2" t="s">
        <v>98</v>
      </c>
      <c r="S701" s="2" t="s">
        <v>2332</v>
      </c>
      <c r="T701" s="2" t="s">
        <v>98</v>
      </c>
      <c r="U701" s="2" t="s">
        <v>100</v>
      </c>
      <c r="V701" s="2" t="s">
        <v>2333</v>
      </c>
      <c r="W701" s="2" t="s">
        <v>2111</v>
      </c>
      <c r="X701" s="2" t="s">
        <v>130</v>
      </c>
      <c r="Y701" s="2" t="s">
        <v>2334</v>
      </c>
      <c r="Z701" s="4">
        <v>220</v>
      </c>
      <c r="AA701" s="4">
        <f>=ROUNDDOWN(4,0)</f>
      </c>
      <c r="AB701" s="5">
        <v>55</v>
      </c>
      <c r="AC701" s="2" t="s">
        <v>376</v>
      </c>
      <c r="AD701" s="4">
        <v>244</v>
      </c>
      <c r="AE701" s="4">
        <v>1288</v>
      </c>
      <c r="AF701" s="6">
        <v>65</v>
      </c>
      <c r="AG701" s="6"/>
      <c r="AH701" s="7">
        <v>1</v>
      </c>
      <c r="AI701" s="4">
        <v>4</v>
      </c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60</v>
      </c>
      <c r="AQ701" s="8">
        <v>1410</v>
      </c>
      <c r="AR701" s="4">
        <v>173</v>
      </c>
      <c r="AS701" s="8">
        <v>3295.65</v>
      </c>
      <c r="AT701" s="7">
        <v>-0.6532</v>
      </c>
      <c r="AU701" s="7">
        <v>-0.5722</v>
      </c>
      <c r="AV701" s="4">
        <v>131</v>
      </c>
      <c r="AW701" s="8">
        <v>3392.05</v>
      </c>
      <c r="AX701" s="4">
        <v>418</v>
      </c>
      <c r="AY701" s="8">
        <v>8726.88</v>
      </c>
      <c r="AZ701" s="7">
        <v>-0.6866</v>
      </c>
      <c r="BA701" s="7">
        <v>-0.6113</v>
      </c>
      <c r="BB701" s="7">
        <v>0.4157</v>
      </c>
      <c r="BC701" s="4">
        <v>164</v>
      </c>
      <c r="BD701" s="8">
        <v>4268.5</v>
      </c>
      <c r="BE701" s="4">
        <v>422</v>
      </c>
      <c r="BF701" s="8">
        <v>8803.08</v>
      </c>
      <c r="BG701" s="7">
        <v>-0.6114</v>
      </c>
      <c r="BH701" s="7">
        <v>-0.5151</v>
      </c>
      <c r="BI701" s="7">
        <v>0.7947</v>
      </c>
      <c r="BJ701" s="4">
        <v>504</v>
      </c>
      <c r="BK701" s="8">
        <v>11760.15</v>
      </c>
      <c r="BL701" s="2" t="s">
        <v>2335</v>
      </c>
      <c r="BM701" s="7">
        <v>0.119</v>
      </c>
      <c r="BN701" s="7">
        <v>0.1199</v>
      </c>
      <c r="BO701" s="4">
        <v>60</v>
      </c>
      <c r="BP701" s="8">
        <v>1410</v>
      </c>
      <c r="BQ701" s="4">
        <v>173</v>
      </c>
      <c r="BR701" s="8">
        <v>3295.65</v>
      </c>
      <c r="BS701" s="7">
        <v>-0.6532</v>
      </c>
      <c r="BT701" s="7">
        <v>-0.5722</v>
      </c>
      <c r="BU701" s="2" t="s">
        <v>107</v>
      </c>
      <c r="BV701" s="2" t="s">
        <v>108</v>
      </c>
      <c r="BW701" s="2" t="s">
        <v>2115</v>
      </c>
      <c r="BX701" s="2" t="s">
        <v>381</v>
      </c>
      <c r="BY701" s="2" t="s">
        <v>111</v>
      </c>
    </row>
    <row r="702">
      <c r="A702" s="2" t="s">
        <v>2336</v>
      </c>
      <c r="B702" s="2" t="s">
        <v>86</v>
      </c>
      <c r="C702" s="2" t="s">
        <v>2106</v>
      </c>
      <c r="D702" s="2" t="s">
        <v>88</v>
      </c>
      <c r="E702" s="2" t="s">
        <v>88</v>
      </c>
      <c r="F702" s="2" t="s">
        <v>2327</v>
      </c>
      <c r="G702" s="2" t="s">
        <v>2328</v>
      </c>
      <c r="H702" s="2" t="s">
        <v>2329</v>
      </c>
      <c r="I702" s="2" t="s">
        <v>2330</v>
      </c>
      <c r="J702" s="2" t="s">
        <v>113</v>
      </c>
      <c r="K702" s="2" t="s">
        <v>2331</v>
      </c>
      <c r="L702" s="3">
        <v>24.75</v>
      </c>
      <c r="M702" s="3">
        <v>25.99</v>
      </c>
      <c r="N702" s="3">
        <v>54.99</v>
      </c>
      <c r="O702" s="2" t="s">
        <v>95</v>
      </c>
      <c r="P702" s="2" t="s">
        <v>699</v>
      </c>
      <c r="Q702" s="2" t="s">
        <v>97</v>
      </c>
      <c r="R702" s="2" t="s">
        <v>98</v>
      </c>
      <c r="S702" s="2" t="s">
        <v>2337</v>
      </c>
      <c r="T702" s="2" t="s">
        <v>98</v>
      </c>
      <c r="U702" s="2" t="s">
        <v>100</v>
      </c>
      <c r="V702" s="2" t="s">
        <v>2333</v>
      </c>
      <c r="W702" s="2" t="s">
        <v>2111</v>
      </c>
      <c r="X702" s="2" t="s">
        <v>130</v>
      </c>
      <c r="Y702" s="2" t="s">
        <v>2334</v>
      </c>
      <c r="Z702" s="4">
        <v>170</v>
      </c>
      <c r="AA702" s="4">
        <f>=ROUNDDOWN(5,0)</f>
      </c>
      <c r="AB702" s="5">
        <v>34</v>
      </c>
      <c r="AC702" s="2" t="s">
        <v>376</v>
      </c>
      <c r="AD702" s="4">
        <v>108</v>
      </c>
      <c r="AE702" s="4">
        <v>578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43</v>
      </c>
      <c r="AQ702" s="8">
        <v>1158.85</v>
      </c>
      <c r="AR702" s="4">
        <v>169</v>
      </c>
      <c r="AS702" s="8">
        <v>3621.67</v>
      </c>
      <c r="AT702" s="7">
        <v>-0.7456</v>
      </c>
      <c r="AU702" s="7">
        <v>-0.68</v>
      </c>
      <c r="AV702" s="4" t="s">
        <v>98</v>
      </c>
      <c r="AW702" s="8" t="s">
        <v>98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>
        <v>0.3416</v>
      </c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 t="s">
        <v>98</v>
      </c>
      <c r="BJ702" s="4">
        <v>615</v>
      </c>
      <c r="BK702" s="8">
        <v>16208.51</v>
      </c>
      <c r="BL702" s="2" t="s">
        <v>2338</v>
      </c>
      <c r="BM702" s="7">
        <v>0.0699</v>
      </c>
      <c r="BN702" s="7">
        <v>0.0715</v>
      </c>
      <c r="BO702" s="4">
        <v>43</v>
      </c>
      <c r="BP702" s="8">
        <v>1158.85</v>
      </c>
      <c r="BQ702" s="4">
        <v>169</v>
      </c>
      <c r="BR702" s="8">
        <v>3621.67</v>
      </c>
      <c r="BS702" s="7">
        <v>-0.7456</v>
      </c>
      <c r="BT702" s="7">
        <v>-0.68</v>
      </c>
      <c r="BU702" s="2" t="s">
        <v>107</v>
      </c>
      <c r="BV702" s="2" t="s">
        <v>108</v>
      </c>
      <c r="BW702" s="2" t="s">
        <v>2115</v>
      </c>
      <c r="BX702" s="2" t="s">
        <v>2131</v>
      </c>
      <c r="BY702" s="2" t="s">
        <v>111</v>
      </c>
    </row>
    <row r="703">
      <c r="A703" s="2" t="s">
        <v>2339</v>
      </c>
      <c r="B703" s="2" t="s">
        <v>86</v>
      </c>
      <c r="C703" s="2" t="s">
        <v>2106</v>
      </c>
      <c r="D703" s="2" t="s">
        <v>88</v>
      </c>
      <c r="E703" s="2" t="s">
        <v>88</v>
      </c>
      <c r="F703" s="2" t="s">
        <v>2327</v>
      </c>
      <c r="G703" s="2" t="s">
        <v>2328</v>
      </c>
      <c r="H703" s="2" t="s">
        <v>2329</v>
      </c>
      <c r="I703" s="2" t="s">
        <v>2330</v>
      </c>
      <c r="J703" s="2" t="s">
        <v>118</v>
      </c>
      <c r="K703" s="2" t="s">
        <v>2331</v>
      </c>
      <c r="L703" s="3">
        <v>27</v>
      </c>
      <c r="M703" s="3">
        <v>28.35</v>
      </c>
      <c r="N703" s="3">
        <v>59.99</v>
      </c>
      <c r="O703" s="2" t="s">
        <v>95</v>
      </c>
      <c r="P703" s="2" t="s">
        <v>699</v>
      </c>
      <c r="Q703" s="2" t="s">
        <v>97</v>
      </c>
      <c r="R703" s="2" t="s">
        <v>98</v>
      </c>
      <c r="S703" s="2" t="s">
        <v>2332</v>
      </c>
      <c r="T703" s="2" t="s">
        <v>98</v>
      </c>
      <c r="U703" s="2" t="s">
        <v>100</v>
      </c>
      <c r="V703" s="2" t="s">
        <v>2333</v>
      </c>
      <c r="W703" s="2" t="s">
        <v>2111</v>
      </c>
      <c r="X703" s="2" t="s">
        <v>130</v>
      </c>
      <c r="Y703" s="2" t="s">
        <v>2334</v>
      </c>
      <c r="Z703" s="4"/>
      <c r="AA703" s="4">
        <f>=ROUNDDOWN({0},0)</f>
      </c>
      <c r="AB703" s="5">
        <v>36</v>
      </c>
      <c r="AC703" s="2" t="s">
        <v>376</v>
      </c>
      <c r="AD703" s="4">
        <v>524</v>
      </c>
      <c r="AE703" s="4">
        <v>1092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28</v>
      </c>
      <c r="AQ703" s="8">
        <v>823.2</v>
      </c>
      <c r="AR703" s="4">
        <v>76</v>
      </c>
      <c r="AS703" s="8">
        <v>1809.56</v>
      </c>
      <c r="AT703" s="7">
        <v>-0.6316</v>
      </c>
      <c r="AU703" s="7">
        <v>-0.5451</v>
      </c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>
        <v>0.2427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 t="s">
        <v>98</v>
      </c>
      <c r="BJ703" s="4">
        <v>230</v>
      </c>
      <c r="BK703" s="8">
        <v>6562.55</v>
      </c>
      <c r="BL703" s="2" t="s">
        <v>884</v>
      </c>
      <c r="BM703" s="7">
        <v>0.1217</v>
      </c>
      <c r="BN703" s="7">
        <v>0.1254</v>
      </c>
      <c r="BO703" s="4">
        <v>28</v>
      </c>
      <c r="BP703" s="8">
        <v>823.2</v>
      </c>
      <c r="BQ703" s="4">
        <v>76</v>
      </c>
      <c r="BR703" s="8">
        <v>1809.56</v>
      </c>
      <c r="BS703" s="7">
        <v>-0.6316</v>
      </c>
      <c r="BT703" s="7">
        <v>-0.5451</v>
      </c>
      <c r="BU703" s="2" t="s">
        <v>107</v>
      </c>
      <c r="BV703" s="2" t="s">
        <v>108</v>
      </c>
      <c r="BW703" s="2" t="s">
        <v>2115</v>
      </c>
      <c r="BX703" s="2" t="s">
        <v>2249</v>
      </c>
      <c r="BY703" s="2" t="s">
        <v>111</v>
      </c>
    </row>
    <row r="704">
      <c r="A704" s="2" t="s">
        <v>2340</v>
      </c>
      <c r="B704" s="2" t="s">
        <v>86</v>
      </c>
      <c r="C704" s="2" t="s">
        <v>2106</v>
      </c>
      <c r="D704" s="2" t="s">
        <v>88</v>
      </c>
      <c r="E704" s="2" t="s">
        <v>88</v>
      </c>
      <c r="F704" s="2" t="s">
        <v>2327</v>
      </c>
      <c r="G704" s="2" t="s">
        <v>2328</v>
      </c>
      <c r="H704" s="2" t="s">
        <v>2329</v>
      </c>
      <c r="I704" s="2" t="s">
        <v>2330</v>
      </c>
      <c r="J704" s="2" t="s">
        <v>93</v>
      </c>
      <c r="K704" s="2" t="s">
        <v>2341</v>
      </c>
      <c r="L704" s="3">
        <v>22.5</v>
      </c>
      <c r="M704" s="3">
        <v>23.62</v>
      </c>
      <c r="N704" s="3">
        <v>49.99</v>
      </c>
      <c r="O704" s="2" t="s">
        <v>95</v>
      </c>
      <c r="P704" s="2" t="s">
        <v>150</v>
      </c>
      <c r="Q704" s="2" t="s">
        <v>97</v>
      </c>
      <c r="R704" s="2" t="s">
        <v>98</v>
      </c>
      <c r="S704" s="2" t="s">
        <v>2342</v>
      </c>
      <c r="T704" s="2" t="s">
        <v>98</v>
      </c>
      <c r="U704" s="2" t="s">
        <v>100</v>
      </c>
      <c r="V704" s="2" t="s">
        <v>2333</v>
      </c>
      <c r="W704" s="2" t="s">
        <v>2111</v>
      </c>
      <c r="X704" s="2" t="s">
        <v>130</v>
      </c>
      <c r="Y704" s="2" t="s">
        <v>2343</v>
      </c>
      <c r="Z704" s="4">
        <v>277</v>
      </c>
      <c r="AA704" s="4">
        <f>=ROUNDDOWN(27.7,0)</f>
      </c>
      <c r="AB704" s="5">
        <v>10</v>
      </c>
      <c r="AC704" s="2" t="s">
        <v>309</v>
      </c>
      <c r="AD704" s="4">
        <v>100</v>
      </c>
      <c r="AE704" s="4">
        <v>100</v>
      </c>
      <c r="AF704" s="6">
        <v>65</v>
      </c>
      <c r="AG704" s="6"/>
      <c r="AH704" s="7">
        <v>1</v>
      </c>
      <c r="AI704" s="4">
        <v>1</v>
      </c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8</v>
      </c>
      <c r="AQ704" s="8">
        <v>188</v>
      </c>
      <c r="AR704" s="4">
        <v>4</v>
      </c>
      <c r="AS704" s="8">
        <v>76.2</v>
      </c>
      <c r="AT704" s="7">
        <v>1</v>
      </c>
      <c r="AU704" s="7">
        <v>1.4672</v>
      </c>
      <c r="AV704" s="4">
        <v>33</v>
      </c>
      <c r="AW704" s="8">
        <v>876.45</v>
      </c>
      <c r="AX704" s="4">
        <v>4</v>
      </c>
      <c r="AY704" s="8">
        <v>76.2</v>
      </c>
      <c r="AZ704" s="7">
        <v>7.25</v>
      </c>
      <c r="BA704" s="7">
        <v>10.502</v>
      </c>
      <c r="BB704" s="7">
        <v>0.2145</v>
      </c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>
        <v>0.2053</v>
      </c>
      <c r="BJ704" s="4">
        <v>79</v>
      </c>
      <c r="BK704" s="8">
        <v>1792.98</v>
      </c>
      <c r="BL704" s="2" t="s">
        <v>2344</v>
      </c>
      <c r="BM704" s="7">
        <v>0.1013</v>
      </c>
      <c r="BN704" s="7">
        <v>0.1049</v>
      </c>
      <c r="BO704" s="4">
        <v>8</v>
      </c>
      <c r="BP704" s="8">
        <v>188</v>
      </c>
      <c r="BQ704" s="4">
        <v>4</v>
      </c>
      <c r="BR704" s="8">
        <v>76.2</v>
      </c>
      <c r="BS704" s="7">
        <v>1</v>
      </c>
      <c r="BT704" s="7">
        <v>1.4672</v>
      </c>
      <c r="BU704" s="2" t="s">
        <v>107</v>
      </c>
      <c r="BV704" s="2" t="s">
        <v>108</v>
      </c>
      <c r="BW704" s="2" t="s">
        <v>2124</v>
      </c>
      <c r="BX704" s="2" t="s">
        <v>2345</v>
      </c>
      <c r="BY704" s="2" t="s">
        <v>111</v>
      </c>
    </row>
    <row r="705">
      <c r="A705" s="2" t="s">
        <v>2346</v>
      </c>
      <c r="B705" s="2" t="s">
        <v>86</v>
      </c>
      <c r="C705" s="2" t="s">
        <v>2106</v>
      </c>
      <c r="D705" s="2" t="s">
        <v>88</v>
      </c>
      <c r="E705" s="2" t="s">
        <v>88</v>
      </c>
      <c r="F705" s="2" t="s">
        <v>2327</v>
      </c>
      <c r="G705" s="2" t="s">
        <v>2328</v>
      </c>
      <c r="H705" s="2" t="s">
        <v>2329</v>
      </c>
      <c r="I705" s="2" t="s">
        <v>2330</v>
      </c>
      <c r="J705" s="2" t="s">
        <v>113</v>
      </c>
      <c r="K705" s="2" t="s">
        <v>2341</v>
      </c>
      <c r="L705" s="3">
        <v>24.75</v>
      </c>
      <c r="M705" s="3">
        <v>25.99</v>
      </c>
      <c r="N705" s="3">
        <v>54.99</v>
      </c>
      <c r="O705" s="2" t="s">
        <v>95</v>
      </c>
      <c r="P705" s="2" t="s">
        <v>150</v>
      </c>
      <c r="Q705" s="2" t="s">
        <v>97</v>
      </c>
      <c r="R705" s="2" t="s">
        <v>98</v>
      </c>
      <c r="S705" s="2" t="s">
        <v>2342</v>
      </c>
      <c r="T705" s="2" t="s">
        <v>98</v>
      </c>
      <c r="U705" s="2" t="s">
        <v>100</v>
      </c>
      <c r="V705" s="2" t="s">
        <v>2333</v>
      </c>
      <c r="W705" s="2" t="s">
        <v>2111</v>
      </c>
      <c r="X705" s="2" t="s">
        <v>130</v>
      </c>
      <c r="Y705" s="2" t="s">
        <v>2343</v>
      </c>
      <c r="Z705" s="4">
        <v>2</v>
      </c>
      <c r="AA705" s="4">
        <f>=ROUNDDOWN(0.133333333333333,0)</f>
      </c>
      <c r="AB705" s="5">
        <v>15</v>
      </c>
      <c r="AC705" s="2" t="s">
        <v>376</v>
      </c>
      <c r="AD705" s="4">
        <v>180</v>
      </c>
      <c r="AE705" s="4">
        <v>532</v>
      </c>
      <c r="AF705" s="6">
        <v>65</v>
      </c>
      <c r="AG705" s="6"/>
      <c r="AH705" s="7">
        <v>1</v>
      </c>
      <c r="AI705" s="4">
        <v>6</v>
      </c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19</v>
      </c>
      <c r="AQ705" s="8">
        <v>512.05</v>
      </c>
      <c r="AR705" s="4"/>
      <c r="AS705" s="8"/>
      <c r="AT705" s="7"/>
      <c r="AU705" s="7"/>
      <c r="AV705" s="4" t="s">
        <v>98</v>
      </c>
      <c r="AW705" s="8" t="s">
        <v>98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>
        <v>0.5842</v>
      </c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 t="s">
        <v>98</v>
      </c>
      <c r="BJ705" s="4">
        <v>173</v>
      </c>
      <c r="BK705" s="8">
        <v>4606.02</v>
      </c>
      <c r="BL705" s="2" t="s">
        <v>951</v>
      </c>
      <c r="BM705" s="7">
        <v>0.1098</v>
      </c>
      <c r="BN705" s="7">
        <v>0.1112</v>
      </c>
      <c r="BO705" s="4">
        <v>19</v>
      </c>
      <c r="BP705" s="8">
        <v>512.05</v>
      </c>
      <c r="BQ705" s="4"/>
      <c r="BR705" s="8"/>
      <c r="BS705" s="7"/>
      <c r="BT705" s="7"/>
      <c r="BU705" s="2" t="s">
        <v>107</v>
      </c>
      <c r="BV705" s="2" t="s">
        <v>108</v>
      </c>
      <c r="BW705" s="2" t="s">
        <v>2124</v>
      </c>
      <c r="BX705" s="2" t="s">
        <v>2345</v>
      </c>
      <c r="BY705" s="2" t="s">
        <v>111</v>
      </c>
    </row>
    <row r="706">
      <c r="A706" s="2" t="s">
        <v>2347</v>
      </c>
      <c r="B706" s="2" t="s">
        <v>86</v>
      </c>
      <c r="C706" s="2" t="s">
        <v>2106</v>
      </c>
      <c r="D706" s="2" t="s">
        <v>88</v>
      </c>
      <c r="E706" s="2" t="s">
        <v>88</v>
      </c>
      <c r="F706" s="2" t="s">
        <v>2327</v>
      </c>
      <c r="G706" s="2" t="s">
        <v>2328</v>
      </c>
      <c r="H706" s="2" t="s">
        <v>2329</v>
      </c>
      <c r="I706" s="2" t="s">
        <v>2330</v>
      </c>
      <c r="J706" s="2" t="s">
        <v>118</v>
      </c>
      <c r="K706" s="2" t="s">
        <v>2341</v>
      </c>
      <c r="L706" s="3">
        <v>27</v>
      </c>
      <c r="M706" s="3">
        <v>28.35</v>
      </c>
      <c r="N706" s="3">
        <v>59.99</v>
      </c>
      <c r="O706" s="2" t="s">
        <v>95</v>
      </c>
      <c r="P706" s="2" t="s">
        <v>150</v>
      </c>
      <c r="Q706" s="2" t="s">
        <v>97</v>
      </c>
      <c r="R706" s="2" t="s">
        <v>98</v>
      </c>
      <c r="S706" s="2" t="s">
        <v>2342</v>
      </c>
      <c r="T706" s="2" t="s">
        <v>98</v>
      </c>
      <c r="U706" s="2" t="s">
        <v>100</v>
      </c>
      <c r="V706" s="2" t="s">
        <v>2333</v>
      </c>
      <c r="W706" s="2" t="s">
        <v>2111</v>
      </c>
      <c r="X706" s="2" t="s">
        <v>130</v>
      </c>
      <c r="Y706" s="2" t="s">
        <v>2343</v>
      </c>
      <c r="Z706" s="4">
        <v>335</v>
      </c>
      <c r="AA706" s="4">
        <f>=ROUNDDOWN(25.7692307692308,0)</f>
      </c>
      <c r="AB706" s="5">
        <v>13</v>
      </c>
      <c r="AC706" s="2" t="s">
        <v>658</v>
      </c>
      <c r="AD706" s="4">
        <v>164</v>
      </c>
      <c r="AE706" s="4">
        <v>164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6</v>
      </c>
      <c r="AQ706" s="8">
        <v>176.4</v>
      </c>
      <c r="AR706" s="4"/>
      <c r="AS706" s="8"/>
      <c r="AT706" s="7"/>
      <c r="AU706" s="7"/>
      <c r="AV706" s="4" t="s">
        <v>98</v>
      </c>
      <c r="AW706" s="8" t="s">
        <v>98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>
        <v>0.2013</v>
      </c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 t="s">
        <v>98</v>
      </c>
      <c r="BJ706" s="4">
        <v>117</v>
      </c>
      <c r="BK706" s="8">
        <v>3403.22</v>
      </c>
      <c r="BL706" s="2" t="s">
        <v>2348</v>
      </c>
      <c r="BM706" s="7">
        <v>0.0513</v>
      </c>
      <c r="BN706" s="7">
        <v>0.0518</v>
      </c>
      <c r="BO706" s="4">
        <v>6</v>
      </c>
      <c r="BP706" s="8">
        <v>176.4</v>
      </c>
      <c r="BQ706" s="4"/>
      <c r="BR706" s="8"/>
      <c r="BS706" s="7"/>
      <c r="BT706" s="7"/>
      <c r="BU706" s="2" t="s">
        <v>107</v>
      </c>
      <c r="BV706" s="2" t="s">
        <v>108</v>
      </c>
      <c r="BW706" s="2" t="s">
        <v>2124</v>
      </c>
      <c r="BX706" s="2" t="s">
        <v>2349</v>
      </c>
      <c r="BY706" s="2" t="s">
        <v>111</v>
      </c>
    </row>
    <row r="707">
      <c r="A707" s="2" t="s">
        <v>2350</v>
      </c>
      <c r="B707" s="2" t="s">
        <v>86</v>
      </c>
      <c r="C707" s="2" t="s">
        <v>2106</v>
      </c>
      <c r="D707" s="2" t="s">
        <v>88</v>
      </c>
      <c r="E707" s="2" t="s">
        <v>88</v>
      </c>
      <c r="F707" s="2" t="s">
        <v>2327</v>
      </c>
      <c r="G707" s="2" t="s">
        <v>2328</v>
      </c>
      <c r="H707" s="2" t="s">
        <v>2329</v>
      </c>
      <c r="I707" s="2" t="s">
        <v>2330</v>
      </c>
      <c r="J707" s="2" t="s">
        <v>113</v>
      </c>
      <c r="K707" s="2" t="s">
        <v>94</v>
      </c>
      <c r="L707" s="3">
        <v>24.75</v>
      </c>
      <c r="M707" s="3">
        <v>25.99</v>
      </c>
      <c r="N707" s="3">
        <v>54.99</v>
      </c>
      <c r="O707" s="2" t="s">
        <v>95</v>
      </c>
      <c r="P707" s="2" t="s">
        <v>215</v>
      </c>
      <c r="Q707" s="2" t="s">
        <v>97</v>
      </c>
      <c r="R707" s="2" t="s">
        <v>98</v>
      </c>
      <c r="S707" s="2" t="s">
        <v>2351</v>
      </c>
      <c r="T707" s="2" t="s">
        <v>98</v>
      </c>
      <c r="U707" s="2" t="s">
        <v>100</v>
      </c>
      <c r="V707" s="2" t="s">
        <v>2333</v>
      </c>
      <c r="W707" s="2" t="s">
        <v>2111</v>
      </c>
      <c r="X707" s="2" t="s">
        <v>130</v>
      </c>
      <c r="Y707" s="2" t="s">
        <v>2352</v>
      </c>
      <c r="Z707" s="4">
        <v>83</v>
      </c>
      <c r="AA707" s="4">
        <f>=ROUNDDOWN(15.9615384615385,0)</f>
      </c>
      <c r="AB707" s="5">
        <v>5.2</v>
      </c>
      <c r="AC707" s="2" t="s">
        <v>98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 t="s">
        <v>98</v>
      </c>
      <c r="BJ707" s="4">
        <v>31</v>
      </c>
      <c r="BK707" s="8">
        <v>767.83</v>
      </c>
      <c r="BL707" s="2" t="s">
        <v>1016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108</v>
      </c>
      <c r="BW707" s="2" t="s">
        <v>911</v>
      </c>
      <c r="BX707" s="2" t="s">
        <v>955</v>
      </c>
      <c r="BY707" s="2" t="s">
        <v>111</v>
      </c>
    </row>
    <row r="708">
      <c r="A708" s="2" t="s">
        <v>2353</v>
      </c>
      <c r="B708" s="2" t="s">
        <v>86</v>
      </c>
      <c r="C708" s="2" t="s">
        <v>2106</v>
      </c>
      <c r="D708" s="2" t="s">
        <v>88</v>
      </c>
      <c r="E708" s="2" t="s">
        <v>88</v>
      </c>
      <c r="F708" s="2" t="s">
        <v>2327</v>
      </c>
      <c r="G708" s="2" t="s">
        <v>2328</v>
      </c>
      <c r="H708" s="2" t="s">
        <v>2329</v>
      </c>
      <c r="I708" s="2" t="s">
        <v>2330</v>
      </c>
      <c r="J708" s="2" t="s">
        <v>118</v>
      </c>
      <c r="K708" s="2" t="s">
        <v>94</v>
      </c>
      <c r="L708" s="3">
        <v>27</v>
      </c>
      <c r="M708" s="3">
        <v>28.35</v>
      </c>
      <c r="N708" s="3">
        <v>59.99</v>
      </c>
      <c r="O708" s="2" t="s">
        <v>95</v>
      </c>
      <c r="P708" s="2" t="s">
        <v>215</v>
      </c>
      <c r="Q708" s="2" t="s">
        <v>97</v>
      </c>
      <c r="R708" s="2" t="s">
        <v>98</v>
      </c>
      <c r="S708" s="2" t="s">
        <v>2351</v>
      </c>
      <c r="T708" s="2" t="s">
        <v>98</v>
      </c>
      <c r="U708" s="2" t="s">
        <v>100</v>
      </c>
      <c r="V708" s="2" t="s">
        <v>2333</v>
      </c>
      <c r="W708" s="2" t="s">
        <v>2111</v>
      </c>
      <c r="X708" s="2" t="s">
        <v>130</v>
      </c>
      <c r="Y708" s="2" t="s">
        <v>2352</v>
      </c>
      <c r="Z708" s="4">
        <v>137</v>
      </c>
      <c r="AA708" s="4">
        <f>=ROUNDDOWN(68.5,0)</f>
      </c>
      <c r="AB708" s="5">
        <v>2</v>
      </c>
      <c r="AC708" s="2" t="s">
        <v>98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 t="s">
        <v>98</v>
      </c>
      <c r="BJ708" s="4">
        <v>43</v>
      </c>
      <c r="BK708" s="8">
        <v>1203.62</v>
      </c>
      <c r="BL708" s="2" t="s">
        <v>1170</v>
      </c>
      <c r="BM708" s="7"/>
      <c r="BN708" s="7"/>
      <c r="BO708" s="4"/>
      <c r="BP708" s="8"/>
      <c r="BQ708" s="4"/>
      <c r="BR708" s="8"/>
      <c r="BS708" s="7"/>
      <c r="BT708" s="7"/>
      <c r="BU708" s="2" t="s">
        <v>107</v>
      </c>
      <c r="BV708" s="2" t="s">
        <v>108</v>
      </c>
      <c r="BW708" s="2" t="s">
        <v>911</v>
      </c>
      <c r="BX708" s="2" t="s">
        <v>955</v>
      </c>
      <c r="BY708" s="2" t="s">
        <v>111</v>
      </c>
    </row>
    <row r="709">
      <c r="A709" s="2" t="s">
        <v>2354</v>
      </c>
      <c r="B709" s="2" t="s">
        <v>86</v>
      </c>
      <c r="C709" s="2" t="s">
        <v>2106</v>
      </c>
      <c r="D709" s="2" t="s">
        <v>88</v>
      </c>
      <c r="E709" s="2" t="s">
        <v>88</v>
      </c>
      <c r="F709" s="2" t="s">
        <v>2355</v>
      </c>
      <c r="G709" s="2" t="s">
        <v>2356</v>
      </c>
      <c r="H709" s="2" t="s">
        <v>2357</v>
      </c>
      <c r="I709" s="2" t="s">
        <v>2358</v>
      </c>
      <c r="J709" s="2" t="s">
        <v>93</v>
      </c>
      <c r="K709" s="2" t="s">
        <v>400</v>
      </c>
      <c r="L709" s="3">
        <v>20.25</v>
      </c>
      <c r="M709" s="3">
        <v>21.26</v>
      </c>
      <c r="N709" s="3">
        <v>44.99</v>
      </c>
      <c r="O709" s="2" t="s">
        <v>95</v>
      </c>
      <c r="P709" s="2" t="s">
        <v>150</v>
      </c>
      <c r="Q709" s="2" t="s">
        <v>97</v>
      </c>
      <c r="R709" s="2" t="s">
        <v>98</v>
      </c>
      <c r="S709" s="2" t="s">
        <v>2359</v>
      </c>
      <c r="T709" s="2" t="s">
        <v>98</v>
      </c>
      <c r="U709" s="2" t="s">
        <v>100</v>
      </c>
      <c r="V709" s="2" t="s">
        <v>334</v>
      </c>
      <c r="W709" s="2" t="s">
        <v>335</v>
      </c>
      <c r="X709" s="2" t="s">
        <v>130</v>
      </c>
      <c r="Y709" s="2" t="s">
        <v>2360</v>
      </c>
      <c r="Z709" s="4">
        <v>187</v>
      </c>
      <c r="AA709" s="4">
        <f>=ROUNDDOWN(11,0)</f>
      </c>
      <c r="AB709" s="5">
        <v>17</v>
      </c>
      <c r="AC709" s="2" t="s">
        <v>624</v>
      </c>
      <c r="AD709" s="4">
        <v>484</v>
      </c>
      <c r="AE709" s="4">
        <v>484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>
        <v>22</v>
      </c>
      <c r="AQ709" s="8">
        <v>495</v>
      </c>
      <c r="AR709" s="4">
        <v>4</v>
      </c>
      <c r="AS709" s="8">
        <v>73.44</v>
      </c>
      <c r="AT709" s="7">
        <v>4.5</v>
      </c>
      <c r="AU709" s="7">
        <v>5.7402</v>
      </c>
      <c r="AV709" s="4">
        <v>61</v>
      </c>
      <c r="AW709" s="8">
        <v>1482.35</v>
      </c>
      <c r="AX709" s="4">
        <v>31</v>
      </c>
      <c r="AY709" s="8">
        <v>635.13</v>
      </c>
      <c r="AZ709" s="7">
        <v>0.9677</v>
      </c>
      <c r="BA709" s="7">
        <v>1.3339</v>
      </c>
      <c r="BB709" s="7">
        <v>0.3339</v>
      </c>
      <c r="BC709" s="4">
        <v>104</v>
      </c>
      <c r="BD709" s="8">
        <v>2556.4</v>
      </c>
      <c r="BE709" s="4">
        <v>31</v>
      </c>
      <c r="BF709" s="8">
        <v>635.13</v>
      </c>
      <c r="BG709" s="7">
        <v>2.3548</v>
      </c>
      <c r="BH709" s="7">
        <v>3.025</v>
      </c>
      <c r="BI709" s="7">
        <v>0.5799</v>
      </c>
      <c r="BJ709" s="4">
        <v>244</v>
      </c>
      <c r="BK709" s="8">
        <v>5267.02</v>
      </c>
      <c r="BL709" s="2" t="s">
        <v>189</v>
      </c>
      <c r="BM709" s="7">
        <v>0.0902</v>
      </c>
      <c r="BN709" s="7">
        <v>0.094</v>
      </c>
      <c r="BO709" s="4">
        <v>22</v>
      </c>
      <c r="BP709" s="8">
        <v>495</v>
      </c>
      <c r="BQ709" s="4">
        <v>4</v>
      </c>
      <c r="BR709" s="8">
        <v>73.44</v>
      </c>
      <c r="BS709" s="7">
        <v>4.5</v>
      </c>
      <c r="BT709" s="7">
        <v>5.7402</v>
      </c>
      <c r="BU709" s="2" t="s">
        <v>107</v>
      </c>
      <c r="BV709" s="2" t="s">
        <v>108</v>
      </c>
      <c r="BW709" s="2" t="s">
        <v>2361</v>
      </c>
      <c r="BX709" s="2" t="s">
        <v>2362</v>
      </c>
      <c r="BY709" s="2" t="s">
        <v>111</v>
      </c>
    </row>
    <row r="710">
      <c r="A710" s="2" t="s">
        <v>2363</v>
      </c>
      <c r="B710" s="2" t="s">
        <v>86</v>
      </c>
      <c r="C710" s="2" t="s">
        <v>2106</v>
      </c>
      <c r="D710" s="2" t="s">
        <v>88</v>
      </c>
      <c r="E710" s="2" t="s">
        <v>88</v>
      </c>
      <c r="F710" s="2" t="s">
        <v>2355</v>
      </c>
      <c r="G710" s="2" t="s">
        <v>2356</v>
      </c>
      <c r="H710" s="2" t="s">
        <v>2357</v>
      </c>
      <c r="I710" s="2" t="s">
        <v>2358</v>
      </c>
      <c r="J710" s="2" t="s">
        <v>113</v>
      </c>
      <c r="K710" s="2" t="s">
        <v>400</v>
      </c>
      <c r="L710" s="3">
        <v>22.5</v>
      </c>
      <c r="M710" s="3">
        <v>23.62</v>
      </c>
      <c r="N710" s="3">
        <v>49.99</v>
      </c>
      <c r="O710" s="2" t="s">
        <v>95</v>
      </c>
      <c r="P710" s="2" t="s">
        <v>150</v>
      </c>
      <c r="Q710" s="2" t="s">
        <v>97</v>
      </c>
      <c r="R710" s="2" t="s">
        <v>98</v>
      </c>
      <c r="S710" s="2" t="s">
        <v>2359</v>
      </c>
      <c r="T710" s="2" t="s">
        <v>98</v>
      </c>
      <c r="U710" s="2" t="s">
        <v>98</v>
      </c>
      <c r="V710" s="2" t="s">
        <v>334</v>
      </c>
      <c r="W710" s="2" t="s">
        <v>335</v>
      </c>
      <c r="X710" s="2" t="s">
        <v>130</v>
      </c>
      <c r="Y710" s="2" t="s">
        <v>2360</v>
      </c>
      <c r="Z710" s="4">
        <v>144</v>
      </c>
      <c r="AA710" s="4">
        <f>=ROUNDDOWN(9.6,0)</f>
      </c>
      <c r="AB710" s="5">
        <v>15</v>
      </c>
      <c r="AC710" s="2" t="s">
        <v>489</v>
      </c>
      <c r="AD710" s="4">
        <v>320</v>
      </c>
      <c r="AE710" s="4">
        <v>320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26</v>
      </c>
      <c r="AQ710" s="8">
        <v>637</v>
      </c>
      <c r="AR710" s="4">
        <v>14</v>
      </c>
      <c r="AS710" s="8">
        <v>277.9</v>
      </c>
      <c r="AT710" s="7">
        <v>0.8571</v>
      </c>
      <c r="AU710" s="7">
        <v>1.2922</v>
      </c>
      <c r="AV710" s="4" t="s">
        <v>98</v>
      </c>
      <c r="AW710" s="8" t="s">
        <v>98</v>
      </c>
      <c r="AX710" s="4" t="s">
        <v>98</v>
      </c>
      <c r="AY710" s="8" t="s">
        <v>98</v>
      </c>
      <c r="AZ710" s="7" t="s">
        <v>98</v>
      </c>
      <c r="BA710" s="7" t="s">
        <v>98</v>
      </c>
      <c r="BB710" s="7">
        <v>0.4297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 t="s">
        <v>98</v>
      </c>
      <c r="BJ710" s="4">
        <v>141</v>
      </c>
      <c r="BK710" s="8">
        <v>3351.25</v>
      </c>
      <c r="BL710" s="2" t="s">
        <v>951</v>
      </c>
      <c r="BM710" s="7">
        <v>0.1844</v>
      </c>
      <c r="BN710" s="7">
        <v>0.1901</v>
      </c>
      <c r="BO710" s="4">
        <v>26</v>
      </c>
      <c r="BP710" s="8">
        <v>637</v>
      </c>
      <c r="BQ710" s="4">
        <v>14</v>
      </c>
      <c r="BR710" s="8">
        <v>277.9</v>
      </c>
      <c r="BS710" s="7">
        <v>0.8571</v>
      </c>
      <c r="BT710" s="7">
        <v>1.2922</v>
      </c>
      <c r="BU710" s="2" t="s">
        <v>107</v>
      </c>
      <c r="BV710" s="2" t="s">
        <v>108</v>
      </c>
      <c r="BW710" s="2" t="s">
        <v>2364</v>
      </c>
      <c r="BX710" s="2" t="s">
        <v>2101</v>
      </c>
      <c r="BY710" s="2" t="s">
        <v>111</v>
      </c>
    </row>
    <row r="711">
      <c r="A711" s="2" t="s">
        <v>2365</v>
      </c>
      <c r="B711" s="2" t="s">
        <v>86</v>
      </c>
      <c r="C711" s="2" t="s">
        <v>2106</v>
      </c>
      <c r="D711" s="2" t="s">
        <v>88</v>
      </c>
      <c r="E711" s="2" t="s">
        <v>88</v>
      </c>
      <c r="F711" s="2" t="s">
        <v>2355</v>
      </c>
      <c r="G711" s="2" t="s">
        <v>2356</v>
      </c>
      <c r="H711" s="2" t="s">
        <v>2357</v>
      </c>
      <c r="I711" s="2" t="s">
        <v>2358</v>
      </c>
      <c r="J711" s="2" t="s">
        <v>118</v>
      </c>
      <c r="K711" s="2" t="s">
        <v>400</v>
      </c>
      <c r="L711" s="3">
        <v>24.75</v>
      </c>
      <c r="M711" s="3">
        <v>25.99</v>
      </c>
      <c r="N711" s="3">
        <v>54.99</v>
      </c>
      <c r="O711" s="2" t="s">
        <v>95</v>
      </c>
      <c r="P711" s="2" t="s">
        <v>150</v>
      </c>
      <c r="Q711" s="2" t="s">
        <v>97</v>
      </c>
      <c r="R711" s="2" t="s">
        <v>98</v>
      </c>
      <c r="S711" s="2" t="s">
        <v>2359</v>
      </c>
      <c r="T711" s="2" t="s">
        <v>98</v>
      </c>
      <c r="U711" s="2" t="s">
        <v>100</v>
      </c>
      <c r="V711" s="2" t="s">
        <v>334</v>
      </c>
      <c r="W711" s="2" t="s">
        <v>335</v>
      </c>
      <c r="X711" s="2" t="s">
        <v>130</v>
      </c>
      <c r="Y711" s="2" t="s">
        <v>2360</v>
      </c>
      <c r="Z711" s="4">
        <v>163</v>
      </c>
      <c r="AA711" s="4">
        <f>=ROUNDDOWN(20.375,0)</f>
      </c>
      <c r="AB711" s="5">
        <v>8</v>
      </c>
      <c r="AC711" s="2" t="s">
        <v>489</v>
      </c>
      <c r="AD711" s="4">
        <v>40</v>
      </c>
      <c r="AE711" s="4">
        <v>40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>
        <v>13</v>
      </c>
      <c r="AQ711" s="8">
        <v>350.35</v>
      </c>
      <c r="AR711" s="4">
        <v>13</v>
      </c>
      <c r="AS711" s="8">
        <v>283.79</v>
      </c>
      <c r="AT711" s="7"/>
      <c r="AU711" s="7">
        <v>0.2345</v>
      </c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>
        <v>0.2363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 t="s">
        <v>98</v>
      </c>
      <c r="BJ711" s="4">
        <v>132</v>
      </c>
      <c r="BK711" s="8">
        <v>3467.98</v>
      </c>
      <c r="BL711" s="2" t="s">
        <v>995</v>
      </c>
      <c r="BM711" s="7">
        <v>0.0985</v>
      </c>
      <c r="BN711" s="7">
        <v>0.101</v>
      </c>
      <c r="BO711" s="4">
        <v>13</v>
      </c>
      <c r="BP711" s="8">
        <v>350.35</v>
      </c>
      <c r="BQ711" s="4">
        <v>13</v>
      </c>
      <c r="BR711" s="8">
        <v>283.79</v>
      </c>
      <c r="BS711" s="7"/>
      <c r="BT711" s="7">
        <v>0.2345</v>
      </c>
      <c r="BU711" s="2" t="s">
        <v>107</v>
      </c>
      <c r="BV711" s="2" t="s">
        <v>108</v>
      </c>
      <c r="BW711" s="2" t="s">
        <v>2366</v>
      </c>
      <c r="BX711" s="2" t="s">
        <v>2367</v>
      </c>
      <c r="BY711" s="2" t="s">
        <v>111</v>
      </c>
    </row>
    <row r="712">
      <c r="A712" s="2" t="s">
        <v>2368</v>
      </c>
      <c r="B712" s="2" t="s">
        <v>86</v>
      </c>
      <c r="C712" s="2" t="s">
        <v>2106</v>
      </c>
      <c r="D712" s="2" t="s">
        <v>88</v>
      </c>
      <c r="E712" s="2" t="s">
        <v>88</v>
      </c>
      <c r="F712" s="2" t="s">
        <v>2355</v>
      </c>
      <c r="G712" s="2" t="s">
        <v>2356</v>
      </c>
      <c r="H712" s="2" t="s">
        <v>2357</v>
      </c>
      <c r="I712" s="2" t="s">
        <v>2358</v>
      </c>
      <c r="J712" s="2" t="s">
        <v>93</v>
      </c>
      <c r="K712" s="2" t="s">
        <v>458</v>
      </c>
      <c r="L712" s="3">
        <v>20.25</v>
      </c>
      <c r="M712" s="3">
        <v>21.26</v>
      </c>
      <c r="N712" s="3">
        <v>44.99</v>
      </c>
      <c r="O712" s="2" t="s">
        <v>95</v>
      </c>
      <c r="P712" s="2" t="s">
        <v>215</v>
      </c>
      <c r="Q712" s="2" t="s">
        <v>97</v>
      </c>
      <c r="R712" s="2" t="s">
        <v>98</v>
      </c>
      <c r="S712" s="2" t="s">
        <v>2369</v>
      </c>
      <c r="T712" s="2" t="s">
        <v>98</v>
      </c>
      <c r="U712" s="2" t="s">
        <v>100</v>
      </c>
      <c r="V712" s="2" t="s">
        <v>334</v>
      </c>
      <c r="W712" s="2" t="s">
        <v>335</v>
      </c>
      <c r="X712" s="2" t="s">
        <v>130</v>
      </c>
      <c r="Y712" s="2" t="s">
        <v>2360</v>
      </c>
      <c r="Z712" s="4">
        <v>191</v>
      </c>
      <c r="AA712" s="4">
        <f>=ROUNDDOWN(11.2352941176471,0)</f>
      </c>
      <c r="AB712" s="5">
        <v>17</v>
      </c>
      <c r="AC712" s="2" t="s">
        <v>98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13</v>
      </c>
      <c r="AQ712" s="8">
        <v>292.5</v>
      </c>
      <c r="AR712" s="4"/>
      <c r="AS712" s="8"/>
      <c r="AT712" s="7"/>
      <c r="AU712" s="7"/>
      <c r="AV712" s="4">
        <v>43</v>
      </c>
      <c r="AW712" s="8">
        <v>1074.05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>
        <v>0.2723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>
        <v>0.4201</v>
      </c>
      <c r="BJ712" s="4">
        <v>246</v>
      </c>
      <c r="BK712" s="8">
        <v>5140.53</v>
      </c>
      <c r="BL712" s="2" t="s">
        <v>2370</v>
      </c>
      <c r="BM712" s="7">
        <v>0.0528</v>
      </c>
      <c r="BN712" s="7">
        <v>0.0569</v>
      </c>
      <c r="BO712" s="4">
        <v>13</v>
      </c>
      <c r="BP712" s="8">
        <v>292.5</v>
      </c>
      <c r="BQ712" s="4"/>
      <c r="BR712" s="8"/>
      <c r="BS712" s="7"/>
      <c r="BT712" s="7"/>
      <c r="BU712" s="2" t="s">
        <v>107</v>
      </c>
      <c r="BV712" s="2" t="s">
        <v>108</v>
      </c>
      <c r="BW712" s="2" t="s">
        <v>2366</v>
      </c>
      <c r="BX712" s="2" t="s">
        <v>2362</v>
      </c>
      <c r="BY712" s="2" t="s">
        <v>111</v>
      </c>
    </row>
    <row r="713">
      <c r="A713" s="2" t="s">
        <v>2371</v>
      </c>
      <c r="B713" s="2" t="s">
        <v>86</v>
      </c>
      <c r="C713" s="2" t="s">
        <v>2106</v>
      </c>
      <c r="D713" s="2" t="s">
        <v>88</v>
      </c>
      <c r="E713" s="2" t="s">
        <v>88</v>
      </c>
      <c r="F713" s="2" t="s">
        <v>2355</v>
      </c>
      <c r="G713" s="2" t="s">
        <v>2356</v>
      </c>
      <c r="H713" s="2" t="s">
        <v>2357</v>
      </c>
      <c r="I713" s="2" t="s">
        <v>2358</v>
      </c>
      <c r="J713" s="2" t="s">
        <v>113</v>
      </c>
      <c r="K713" s="2" t="s">
        <v>458</v>
      </c>
      <c r="L713" s="3">
        <v>22.5</v>
      </c>
      <c r="M713" s="3">
        <v>23.62</v>
      </c>
      <c r="N713" s="3">
        <v>49.99</v>
      </c>
      <c r="O713" s="2" t="s">
        <v>95</v>
      </c>
      <c r="P713" s="2" t="s">
        <v>215</v>
      </c>
      <c r="Q713" s="2" t="s">
        <v>97</v>
      </c>
      <c r="R713" s="2" t="s">
        <v>98</v>
      </c>
      <c r="S713" s="2" t="s">
        <v>2369</v>
      </c>
      <c r="T713" s="2" t="s">
        <v>98</v>
      </c>
      <c r="U713" s="2" t="s">
        <v>100</v>
      </c>
      <c r="V713" s="2" t="s">
        <v>334</v>
      </c>
      <c r="W713" s="2" t="s">
        <v>335</v>
      </c>
      <c r="X713" s="2" t="s">
        <v>130</v>
      </c>
      <c r="Y713" s="2" t="s">
        <v>2360</v>
      </c>
      <c r="Z713" s="4">
        <v>62</v>
      </c>
      <c r="AA713" s="4">
        <f>=ROUNDDOWN(4.76923076923077,0)</f>
      </c>
      <c r="AB713" s="5">
        <v>13</v>
      </c>
      <c r="AC713" s="2" t="s">
        <v>98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11</v>
      </c>
      <c r="AQ713" s="8">
        <v>269.5</v>
      </c>
      <c r="AR713" s="4"/>
      <c r="AS713" s="8"/>
      <c r="AT713" s="7"/>
      <c r="AU713" s="7"/>
      <c r="AV713" s="4" t="s">
        <v>98</v>
      </c>
      <c r="AW713" s="8" t="s">
        <v>98</v>
      </c>
      <c r="AX713" s="4" t="s">
        <v>98</v>
      </c>
      <c r="AY713" s="8" t="s">
        <v>98</v>
      </c>
      <c r="AZ713" s="7" t="s">
        <v>98</v>
      </c>
      <c r="BA713" s="7" t="s">
        <v>98</v>
      </c>
      <c r="BB713" s="7">
        <v>0.2509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 t="s">
        <v>98</v>
      </c>
      <c r="BJ713" s="4">
        <v>107</v>
      </c>
      <c r="BK713" s="8">
        <v>2381.29</v>
      </c>
      <c r="BL713" s="2" t="s">
        <v>655</v>
      </c>
      <c r="BM713" s="7">
        <v>0.1028</v>
      </c>
      <c r="BN713" s="7">
        <v>0.1132</v>
      </c>
      <c r="BO713" s="4">
        <v>11</v>
      </c>
      <c r="BP713" s="8">
        <v>269.5</v>
      </c>
      <c r="BQ713" s="4"/>
      <c r="BR713" s="8"/>
      <c r="BS713" s="7"/>
      <c r="BT713" s="7"/>
      <c r="BU713" s="2" t="s">
        <v>107</v>
      </c>
      <c r="BV713" s="2" t="s">
        <v>108</v>
      </c>
      <c r="BW713" s="2" t="s">
        <v>2372</v>
      </c>
      <c r="BX713" s="2" t="s">
        <v>2373</v>
      </c>
      <c r="BY713" s="2" t="s">
        <v>111</v>
      </c>
    </row>
    <row r="714">
      <c r="A714" s="2" t="s">
        <v>2374</v>
      </c>
      <c r="B714" s="2" t="s">
        <v>86</v>
      </c>
      <c r="C714" s="2" t="s">
        <v>2106</v>
      </c>
      <c r="D714" s="2" t="s">
        <v>88</v>
      </c>
      <c r="E714" s="2" t="s">
        <v>88</v>
      </c>
      <c r="F714" s="2" t="s">
        <v>2355</v>
      </c>
      <c r="G714" s="2" t="s">
        <v>2356</v>
      </c>
      <c r="H714" s="2" t="s">
        <v>2357</v>
      </c>
      <c r="I714" s="2" t="s">
        <v>2358</v>
      </c>
      <c r="J714" s="2" t="s">
        <v>118</v>
      </c>
      <c r="K714" s="2" t="s">
        <v>458</v>
      </c>
      <c r="L714" s="3">
        <v>24.75</v>
      </c>
      <c r="M714" s="3">
        <v>25.99</v>
      </c>
      <c r="N714" s="3">
        <v>54.99</v>
      </c>
      <c r="O714" s="2" t="s">
        <v>95</v>
      </c>
      <c r="P714" s="2" t="s">
        <v>215</v>
      </c>
      <c r="Q714" s="2" t="s">
        <v>97</v>
      </c>
      <c r="R714" s="2" t="s">
        <v>98</v>
      </c>
      <c r="S714" s="2" t="s">
        <v>2369</v>
      </c>
      <c r="T714" s="2" t="s">
        <v>98</v>
      </c>
      <c r="U714" s="2" t="s">
        <v>100</v>
      </c>
      <c r="V714" s="2" t="s">
        <v>334</v>
      </c>
      <c r="W714" s="2" t="s">
        <v>98</v>
      </c>
      <c r="X714" s="2" t="s">
        <v>130</v>
      </c>
      <c r="Y714" s="2" t="s">
        <v>2360</v>
      </c>
      <c r="Z714" s="4">
        <v>145</v>
      </c>
      <c r="AA714" s="4">
        <f>=ROUNDDOWN(20.7142857142857,0)</f>
      </c>
      <c r="AB714" s="5">
        <v>7</v>
      </c>
      <c r="AC714" s="2" t="s">
        <v>98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19</v>
      </c>
      <c r="AQ714" s="8">
        <v>512.05</v>
      </c>
      <c r="AR714" s="4"/>
      <c r="AS714" s="8"/>
      <c r="AT714" s="7"/>
      <c r="AU714" s="7"/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>
        <v>0.4767</v>
      </c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 t="s">
        <v>98</v>
      </c>
      <c r="BJ714" s="4">
        <v>94</v>
      </c>
      <c r="BK714" s="8">
        <v>2435.34</v>
      </c>
      <c r="BL714" s="2" t="s">
        <v>2370</v>
      </c>
      <c r="BM714" s="7">
        <v>0.2021</v>
      </c>
      <c r="BN714" s="7">
        <v>0.2103</v>
      </c>
      <c r="BO714" s="4">
        <v>19</v>
      </c>
      <c r="BP714" s="8">
        <v>512.05</v>
      </c>
      <c r="BQ714" s="4"/>
      <c r="BR714" s="8"/>
      <c r="BS714" s="7"/>
      <c r="BT714" s="7"/>
      <c r="BU714" s="2" t="s">
        <v>107</v>
      </c>
      <c r="BV714" s="2" t="s">
        <v>108</v>
      </c>
      <c r="BW714" s="2" t="s">
        <v>2366</v>
      </c>
      <c r="BX714" s="2" t="s">
        <v>2375</v>
      </c>
      <c r="BY714" s="2" t="s">
        <v>111</v>
      </c>
    </row>
    <row r="715">
      <c r="A715" s="2" t="s">
        <v>2376</v>
      </c>
      <c r="B715" s="2" t="s">
        <v>86</v>
      </c>
      <c r="C715" s="2" t="s">
        <v>2106</v>
      </c>
      <c r="D715" s="2" t="s">
        <v>88</v>
      </c>
      <c r="E715" s="2" t="s">
        <v>88</v>
      </c>
      <c r="F715" s="2" t="s">
        <v>2377</v>
      </c>
      <c r="G715" s="2" t="s">
        <v>2378</v>
      </c>
      <c r="H715" s="2" t="s">
        <v>2379</v>
      </c>
      <c r="I715" s="2" t="s">
        <v>2380</v>
      </c>
      <c r="J715" s="2" t="s">
        <v>93</v>
      </c>
      <c r="K715" s="2" t="s">
        <v>455</v>
      </c>
      <c r="L715" s="3">
        <v>16.65</v>
      </c>
      <c r="M715" s="3">
        <v>17.48</v>
      </c>
      <c r="N715" s="3">
        <v>36.99</v>
      </c>
      <c r="O715" s="2" t="s">
        <v>95</v>
      </c>
      <c r="P715" s="2" t="s">
        <v>150</v>
      </c>
      <c r="Q715" s="2" t="s">
        <v>97</v>
      </c>
      <c r="R715" s="2" t="s">
        <v>98</v>
      </c>
      <c r="S715" s="2" t="s">
        <v>2381</v>
      </c>
      <c r="T715" s="2" t="s">
        <v>98</v>
      </c>
      <c r="U715" s="2" t="s">
        <v>98</v>
      </c>
      <c r="V715" s="2" t="s">
        <v>482</v>
      </c>
      <c r="W715" s="2" t="s">
        <v>567</v>
      </c>
      <c r="X715" s="2" t="s">
        <v>2150</v>
      </c>
      <c r="Y715" s="2" t="s">
        <v>2245</v>
      </c>
      <c r="Z715" s="4">
        <v>270</v>
      </c>
      <c r="AA715" s="4">
        <f>=ROUNDDOWN(13.5,0)</f>
      </c>
      <c r="AB715" s="5">
        <v>20</v>
      </c>
      <c r="AC715" s="2" t="s">
        <v>264</v>
      </c>
      <c r="AD715" s="4">
        <v>500</v>
      </c>
      <c r="AE715" s="4">
        <v>500</v>
      </c>
      <c r="AF715" s="6">
        <v>65</v>
      </c>
      <c r="AG715" s="6"/>
      <c r="AH715" s="7">
        <v>1</v>
      </c>
      <c r="AI715" s="4">
        <v>6</v>
      </c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53</v>
      </c>
      <c r="AQ715" s="8">
        <v>995.34</v>
      </c>
      <c r="AR715" s="4">
        <v>198</v>
      </c>
      <c r="AS715" s="8">
        <v>2772</v>
      </c>
      <c r="AT715" s="7">
        <v>-0.7323</v>
      </c>
      <c r="AU715" s="7">
        <v>-0.6409</v>
      </c>
      <c r="AV715" s="4">
        <v>72</v>
      </c>
      <c r="AW715" s="8">
        <v>1397.57</v>
      </c>
      <c r="AX715" s="4">
        <v>306</v>
      </c>
      <c r="AY715" s="8">
        <v>4458.96</v>
      </c>
      <c r="AZ715" s="7">
        <v>-0.7647</v>
      </c>
      <c r="BA715" s="7">
        <v>-0.6866</v>
      </c>
      <c r="BB715" s="7">
        <v>0.7122</v>
      </c>
      <c r="BC715" s="4">
        <v>126</v>
      </c>
      <c r="BD715" s="8">
        <v>2433.2</v>
      </c>
      <c r="BE715" s="4">
        <v>741</v>
      </c>
      <c r="BF715" s="8">
        <v>10791.96</v>
      </c>
      <c r="BG715" s="7">
        <v>-0.83</v>
      </c>
      <c r="BH715" s="7">
        <v>-0.7745</v>
      </c>
      <c r="BI715" s="7">
        <v>0.5744</v>
      </c>
      <c r="BJ715" s="4">
        <v>182</v>
      </c>
      <c r="BK715" s="8">
        <v>3194.72</v>
      </c>
      <c r="BL715" s="2" t="s">
        <v>189</v>
      </c>
      <c r="BM715" s="7">
        <v>0.2912</v>
      </c>
      <c r="BN715" s="7">
        <v>0.3116</v>
      </c>
      <c r="BO715" s="4">
        <v>53</v>
      </c>
      <c r="BP715" s="8">
        <v>995.34</v>
      </c>
      <c r="BQ715" s="4">
        <v>198</v>
      </c>
      <c r="BR715" s="8">
        <v>2772</v>
      </c>
      <c r="BS715" s="7">
        <v>-0.7323</v>
      </c>
      <c r="BT715" s="7">
        <v>-0.6409</v>
      </c>
      <c r="BU715" s="2" t="s">
        <v>107</v>
      </c>
      <c r="BV715" s="2" t="s">
        <v>108</v>
      </c>
      <c r="BW715" s="2" t="s">
        <v>2115</v>
      </c>
      <c r="BX715" s="2" t="s">
        <v>2382</v>
      </c>
      <c r="BY715" s="2" t="s">
        <v>111</v>
      </c>
    </row>
    <row r="716">
      <c r="A716" s="2" t="s">
        <v>2383</v>
      </c>
      <c r="B716" s="2" t="s">
        <v>86</v>
      </c>
      <c r="C716" s="2" t="s">
        <v>2106</v>
      </c>
      <c r="D716" s="2" t="s">
        <v>88</v>
      </c>
      <c r="E716" s="2" t="s">
        <v>88</v>
      </c>
      <c r="F716" s="2" t="s">
        <v>2377</v>
      </c>
      <c r="G716" s="2" t="s">
        <v>2378</v>
      </c>
      <c r="H716" s="2" t="s">
        <v>2379</v>
      </c>
      <c r="I716" s="2" t="s">
        <v>2380</v>
      </c>
      <c r="J716" s="2" t="s">
        <v>113</v>
      </c>
      <c r="K716" s="2" t="s">
        <v>455</v>
      </c>
      <c r="L716" s="3">
        <v>18</v>
      </c>
      <c r="M716" s="3">
        <v>18.9</v>
      </c>
      <c r="N716" s="3">
        <v>39.99</v>
      </c>
      <c r="O716" s="2" t="s">
        <v>95</v>
      </c>
      <c r="P716" s="2" t="s">
        <v>150</v>
      </c>
      <c r="Q716" s="2" t="s">
        <v>97</v>
      </c>
      <c r="R716" s="2" t="s">
        <v>98</v>
      </c>
      <c r="S716" s="2" t="s">
        <v>2381</v>
      </c>
      <c r="T716" s="2" t="s">
        <v>98</v>
      </c>
      <c r="U716" s="2" t="s">
        <v>98</v>
      </c>
      <c r="V716" s="2" t="s">
        <v>482</v>
      </c>
      <c r="W716" s="2" t="s">
        <v>567</v>
      </c>
      <c r="X716" s="2" t="s">
        <v>2150</v>
      </c>
      <c r="Y716" s="2" t="s">
        <v>2245</v>
      </c>
      <c r="Z716" s="4">
        <v>131</v>
      </c>
      <c r="AA716" s="4">
        <f>=ROUNDDOWN(32.75,0)</f>
      </c>
      <c r="AB716" s="5">
        <v>4</v>
      </c>
      <c r="AC716" s="2" t="s">
        <v>98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19</v>
      </c>
      <c r="AQ716" s="8">
        <v>402.23</v>
      </c>
      <c r="AR716" s="4">
        <v>108</v>
      </c>
      <c r="AS716" s="8">
        <v>1686.96</v>
      </c>
      <c r="AT716" s="7">
        <v>-0.8241</v>
      </c>
      <c r="AU716" s="7">
        <v>-0.7616</v>
      </c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>
        <v>0.2878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 t="s">
        <v>98</v>
      </c>
      <c r="BJ716" s="4">
        <v>101</v>
      </c>
      <c r="BK716" s="8">
        <v>1949.61</v>
      </c>
      <c r="BL716" s="2" t="s">
        <v>2384</v>
      </c>
      <c r="BM716" s="7">
        <v>0.1881</v>
      </c>
      <c r="BN716" s="7">
        <v>0.2063</v>
      </c>
      <c r="BO716" s="4">
        <v>19</v>
      </c>
      <c r="BP716" s="8">
        <v>402.23</v>
      </c>
      <c r="BQ716" s="4">
        <v>108</v>
      </c>
      <c r="BR716" s="8">
        <v>1686.96</v>
      </c>
      <c r="BS716" s="7">
        <v>-0.8241</v>
      </c>
      <c r="BT716" s="7">
        <v>-0.7616</v>
      </c>
      <c r="BU716" s="2" t="s">
        <v>107</v>
      </c>
      <c r="BV716" s="2" t="s">
        <v>108</v>
      </c>
      <c r="BW716" s="2" t="s">
        <v>2115</v>
      </c>
      <c r="BX716" s="2" t="s">
        <v>2131</v>
      </c>
      <c r="BY716" s="2" t="s">
        <v>111</v>
      </c>
    </row>
    <row r="717">
      <c r="A717" s="2" t="s">
        <v>2385</v>
      </c>
      <c r="B717" s="2" t="s">
        <v>86</v>
      </c>
      <c r="C717" s="2" t="s">
        <v>2106</v>
      </c>
      <c r="D717" s="2" t="s">
        <v>88</v>
      </c>
      <c r="E717" s="2" t="s">
        <v>88</v>
      </c>
      <c r="F717" s="2" t="s">
        <v>2377</v>
      </c>
      <c r="G717" s="2" t="s">
        <v>2378</v>
      </c>
      <c r="H717" s="2" t="s">
        <v>2379</v>
      </c>
      <c r="I717" s="2" t="s">
        <v>2380</v>
      </c>
      <c r="J717" s="2" t="s">
        <v>93</v>
      </c>
      <c r="K717" s="2" t="s">
        <v>551</v>
      </c>
      <c r="L717" s="3">
        <v>16.65</v>
      </c>
      <c r="M717" s="3">
        <v>17.48</v>
      </c>
      <c r="N717" s="3">
        <v>36.99</v>
      </c>
      <c r="O717" s="2" t="s">
        <v>95</v>
      </c>
      <c r="P717" s="2" t="s">
        <v>150</v>
      </c>
      <c r="Q717" s="2" t="s">
        <v>97</v>
      </c>
      <c r="R717" s="2" t="s">
        <v>98</v>
      </c>
      <c r="S717" s="2" t="s">
        <v>2386</v>
      </c>
      <c r="T717" s="2" t="s">
        <v>98</v>
      </c>
      <c r="U717" s="2" t="s">
        <v>98</v>
      </c>
      <c r="V717" s="2" t="s">
        <v>482</v>
      </c>
      <c r="W717" s="2" t="s">
        <v>567</v>
      </c>
      <c r="X717" s="2" t="s">
        <v>2150</v>
      </c>
      <c r="Y717" s="2" t="s">
        <v>2245</v>
      </c>
      <c r="Z717" s="4">
        <v>314</v>
      </c>
      <c r="AA717" s="4">
        <f>=ROUNDDOWN(14.952380952381,0)</f>
      </c>
      <c r="AB717" s="5">
        <v>21</v>
      </c>
      <c r="AC717" s="2" t="s">
        <v>264</v>
      </c>
      <c r="AD717" s="4">
        <v>380</v>
      </c>
      <c r="AE717" s="4">
        <v>380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45</v>
      </c>
      <c r="AQ717" s="8">
        <v>845.1</v>
      </c>
      <c r="AR717" s="4">
        <v>285</v>
      </c>
      <c r="AS717" s="8">
        <v>3990</v>
      </c>
      <c r="AT717" s="7">
        <v>-0.8421</v>
      </c>
      <c r="AU717" s="7">
        <v>-0.7882</v>
      </c>
      <c r="AV717" s="4">
        <v>54</v>
      </c>
      <c r="AW717" s="8">
        <v>1035.63</v>
      </c>
      <c r="AX717" s="4">
        <v>435</v>
      </c>
      <c r="AY717" s="8">
        <v>6333</v>
      </c>
      <c r="AZ717" s="7">
        <v>-0.8759</v>
      </c>
      <c r="BA717" s="7">
        <v>-0.8365</v>
      </c>
      <c r="BB717" s="7">
        <v>0.816</v>
      </c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>
        <v>0.4256</v>
      </c>
      <c r="BJ717" s="4">
        <v>256</v>
      </c>
      <c r="BK717" s="8">
        <v>4454.18</v>
      </c>
      <c r="BL717" s="2" t="s">
        <v>2387</v>
      </c>
      <c r="BM717" s="7">
        <v>0.1758</v>
      </c>
      <c r="BN717" s="7">
        <v>0.1897</v>
      </c>
      <c r="BO717" s="4">
        <v>45</v>
      </c>
      <c r="BP717" s="8">
        <v>845.1</v>
      </c>
      <c r="BQ717" s="4">
        <v>285</v>
      </c>
      <c r="BR717" s="8">
        <v>3990</v>
      </c>
      <c r="BS717" s="7">
        <v>-0.8421</v>
      </c>
      <c r="BT717" s="7">
        <v>-0.7882</v>
      </c>
      <c r="BU717" s="2" t="s">
        <v>107</v>
      </c>
      <c r="BV717" s="2" t="s">
        <v>108</v>
      </c>
      <c r="BW717" s="2" t="s">
        <v>2115</v>
      </c>
      <c r="BX717" s="2" t="s">
        <v>2388</v>
      </c>
      <c r="BY717" s="2" t="s">
        <v>111</v>
      </c>
    </row>
    <row r="718">
      <c r="A718" s="2" t="s">
        <v>2389</v>
      </c>
      <c r="B718" s="2" t="s">
        <v>86</v>
      </c>
      <c r="C718" s="2" t="s">
        <v>2106</v>
      </c>
      <c r="D718" s="2" t="s">
        <v>88</v>
      </c>
      <c r="E718" s="2" t="s">
        <v>88</v>
      </c>
      <c r="F718" s="2" t="s">
        <v>2377</v>
      </c>
      <c r="G718" s="2" t="s">
        <v>2378</v>
      </c>
      <c r="H718" s="2" t="s">
        <v>2379</v>
      </c>
      <c r="I718" s="2" t="s">
        <v>2380</v>
      </c>
      <c r="J718" s="2" t="s">
        <v>113</v>
      </c>
      <c r="K718" s="2" t="s">
        <v>551</v>
      </c>
      <c r="L718" s="3">
        <v>18</v>
      </c>
      <c r="M718" s="3">
        <v>18.9</v>
      </c>
      <c r="N718" s="3">
        <v>39.99</v>
      </c>
      <c r="O718" s="2" t="s">
        <v>95</v>
      </c>
      <c r="P718" s="2" t="s">
        <v>150</v>
      </c>
      <c r="Q718" s="2" t="s">
        <v>97</v>
      </c>
      <c r="R718" s="2" t="s">
        <v>98</v>
      </c>
      <c r="S718" s="2" t="s">
        <v>2386</v>
      </c>
      <c r="T718" s="2" t="s">
        <v>98</v>
      </c>
      <c r="U718" s="2" t="s">
        <v>98</v>
      </c>
      <c r="V718" s="2" t="s">
        <v>482</v>
      </c>
      <c r="W718" s="2" t="s">
        <v>567</v>
      </c>
      <c r="X718" s="2" t="s">
        <v>2150</v>
      </c>
      <c r="Y718" s="2" t="s">
        <v>2245</v>
      </c>
      <c r="Z718" s="4">
        <v>162</v>
      </c>
      <c r="AA718" s="4">
        <f>=ROUNDDOWN(18,0)</f>
      </c>
      <c r="AB718" s="5">
        <v>9</v>
      </c>
      <c r="AC718" s="2" t="s">
        <v>264</v>
      </c>
      <c r="AD718" s="4">
        <v>136</v>
      </c>
      <c r="AE718" s="4">
        <v>136</v>
      </c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9</v>
      </c>
      <c r="AQ718" s="8">
        <v>190.53</v>
      </c>
      <c r="AR718" s="4">
        <v>150</v>
      </c>
      <c r="AS718" s="8">
        <v>2343</v>
      </c>
      <c r="AT718" s="7">
        <v>-0.94</v>
      </c>
      <c r="AU718" s="7">
        <v>-0.9187</v>
      </c>
      <c r="AV718" s="4" t="s">
        <v>98</v>
      </c>
      <c r="AW718" s="8" t="s">
        <v>98</v>
      </c>
      <c r="AX718" s="4" t="s">
        <v>98</v>
      </c>
      <c r="AY718" s="8" t="s">
        <v>98</v>
      </c>
      <c r="AZ718" s="7" t="s">
        <v>98</v>
      </c>
      <c r="BA718" s="7" t="s">
        <v>98</v>
      </c>
      <c r="BB718" s="7">
        <v>0.184</v>
      </c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 t="s">
        <v>98</v>
      </c>
      <c r="BJ718" s="4">
        <v>55</v>
      </c>
      <c r="BK718" s="8">
        <v>1057.25</v>
      </c>
      <c r="BL718" s="2" t="s">
        <v>2390</v>
      </c>
      <c r="BM718" s="7">
        <v>0.1636</v>
      </c>
      <c r="BN718" s="7">
        <v>0.1802</v>
      </c>
      <c r="BO718" s="4">
        <v>9</v>
      </c>
      <c r="BP718" s="8">
        <v>190.53</v>
      </c>
      <c r="BQ718" s="4">
        <v>150</v>
      </c>
      <c r="BR718" s="8">
        <v>2343</v>
      </c>
      <c r="BS718" s="7">
        <v>-0.94</v>
      </c>
      <c r="BT718" s="7">
        <v>-0.9187</v>
      </c>
      <c r="BU718" s="2" t="s">
        <v>107</v>
      </c>
      <c r="BV718" s="2" t="s">
        <v>108</v>
      </c>
      <c r="BW718" s="2" t="s">
        <v>2115</v>
      </c>
      <c r="BX718" s="2" t="s">
        <v>345</v>
      </c>
      <c r="BY718" s="2" t="s">
        <v>111</v>
      </c>
    </row>
    <row r="719">
      <c r="A719" s="2" t="s">
        <v>2391</v>
      </c>
      <c r="B719" s="2" t="s">
        <v>86</v>
      </c>
      <c r="C719" s="2" t="s">
        <v>2106</v>
      </c>
      <c r="D719" s="2" t="s">
        <v>88</v>
      </c>
      <c r="E719" s="2" t="s">
        <v>88</v>
      </c>
      <c r="F719" s="2" t="s">
        <v>2392</v>
      </c>
      <c r="G719" s="2" t="s">
        <v>2393</v>
      </c>
      <c r="H719" s="2" t="s">
        <v>2394</v>
      </c>
      <c r="I719" s="2" t="s">
        <v>2395</v>
      </c>
      <c r="J719" s="2" t="s">
        <v>331</v>
      </c>
      <c r="K719" s="2" t="s">
        <v>997</v>
      </c>
      <c r="L719" s="3">
        <v>16.72</v>
      </c>
      <c r="M719" s="3">
        <v>17.56</v>
      </c>
      <c r="N719" s="3">
        <v>37.99</v>
      </c>
      <c r="O719" s="2" t="s">
        <v>241</v>
      </c>
      <c r="P719" s="2" t="s">
        <v>215</v>
      </c>
      <c r="Q719" s="2" t="s">
        <v>97</v>
      </c>
      <c r="R719" s="2" t="s">
        <v>98</v>
      </c>
      <c r="S719" s="2" t="s">
        <v>2396</v>
      </c>
      <c r="T719" s="2" t="s">
        <v>98</v>
      </c>
      <c r="U719" s="2" t="s">
        <v>98</v>
      </c>
      <c r="V719" s="2" t="s">
        <v>798</v>
      </c>
      <c r="W719" s="2" t="s">
        <v>649</v>
      </c>
      <c r="X719" s="2" t="s">
        <v>98</v>
      </c>
      <c r="Y719" s="2" t="s">
        <v>2131</v>
      </c>
      <c r="Z719" s="4"/>
      <c r="AA719" s="4">
        <f>=ROUNDDOWN({0},0)</f>
      </c>
      <c r="AB719" s="5">
        <v>7</v>
      </c>
      <c r="AC719" s="2" t="s">
        <v>98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39</v>
      </c>
      <c r="AQ719" s="8">
        <v>363.09</v>
      </c>
      <c r="AR719" s="4">
        <v>1</v>
      </c>
      <c r="AS719" s="8">
        <v>14.89</v>
      </c>
      <c r="AT719" s="7">
        <v>38</v>
      </c>
      <c r="AU719" s="7">
        <v>23.3848</v>
      </c>
      <c r="AV719" s="4">
        <v>54</v>
      </c>
      <c r="AW719" s="8">
        <v>703.09</v>
      </c>
      <c r="AX719" s="4">
        <v>28</v>
      </c>
      <c r="AY719" s="8">
        <v>483.61</v>
      </c>
      <c r="AZ719" s="7">
        <v>0.9286</v>
      </c>
      <c r="BA719" s="7">
        <v>0.4538</v>
      </c>
      <c r="BB719" s="7">
        <v>0.5164</v>
      </c>
      <c r="BC719" s="4">
        <v>89</v>
      </c>
      <c r="BD719" s="8">
        <v>1117.08</v>
      </c>
      <c r="BE719" s="4">
        <v>104</v>
      </c>
      <c r="BF719" s="8">
        <v>1828.24</v>
      </c>
      <c r="BG719" s="7">
        <v>-0.1442</v>
      </c>
      <c r="BH719" s="7">
        <v>-0.389</v>
      </c>
      <c r="BI719" s="7">
        <v>0.6294</v>
      </c>
      <c r="BJ719" s="4">
        <v>254</v>
      </c>
      <c r="BK719" s="8">
        <v>3371.12</v>
      </c>
      <c r="BL719" s="2" t="s">
        <v>512</v>
      </c>
      <c r="BM719" s="7">
        <v>0.1535</v>
      </c>
      <c r="BN719" s="7">
        <v>0.1077</v>
      </c>
      <c r="BO719" s="4">
        <v>39</v>
      </c>
      <c r="BP719" s="8">
        <v>363.09</v>
      </c>
      <c r="BQ719" s="4">
        <v>1</v>
      </c>
      <c r="BR719" s="8">
        <v>14.89</v>
      </c>
      <c r="BS719" s="7">
        <v>38</v>
      </c>
      <c r="BT719" s="7">
        <v>23.3848</v>
      </c>
      <c r="BU719" s="2" t="s">
        <v>211</v>
      </c>
      <c r="BV719" s="2" t="s">
        <v>352</v>
      </c>
      <c r="BW719" s="2" t="s">
        <v>524</v>
      </c>
      <c r="BX719" s="2" t="s">
        <v>2397</v>
      </c>
      <c r="BY719" s="2" t="s">
        <v>354</v>
      </c>
    </row>
    <row r="720">
      <c r="A720" s="2" t="s">
        <v>2398</v>
      </c>
      <c r="B720" s="2" t="s">
        <v>86</v>
      </c>
      <c r="C720" s="2" t="s">
        <v>2106</v>
      </c>
      <c r="D720" s="2" t="s">
        <v>88</v>
      </c>
      <c r="E720" s="2" t="s">
        <v>88</v>
      </c>
      <c r="F720" s="2" t="s">
        <v>2392</v>
      </c>
      <c r="G720" s="2" t="s">
        <v>2393</v>
      </c>
      <c r="H720" s="2" t="s">
        <v>2394</v>
      </c>
      <c r="I720" s="2" t="s">
        <v>2395</v>
      </c>
      <c r="J720" s="2" t="s">
        <v>93</v>
      </c>
      <c r="K720" s="2" t="s">
        <v>997</v>
      </c>
      <c r="L720" s="3">
        <v>18.92</v>
      </c>
      <c r="M720" s="3">
        <v>19.87</v>
      </c>
      <c r="N720" s="3">
        <v>42.99</v>
      </c>
      <c r="O720" s="2" t="s">
        <v>368</v>
      </c>
      <c r="P720" s="2" t="s">
        <v>465</v>
      </c>
      <c r="Q720" s="2" t="s">
        <v>97</v>
      </c>
      <c r="R720" s="2" t="s">
        <v>98</v>
      </c>
      <c r="S720" s="2" t="s">
        <v>2396</v>
      </c>
      <c r="T720" s="2" t="s">
        <v>98</v>
      </c>
      <c r="U720" s="2" t="s">
        <v>98</v>
      </c>
      <c r="V720" s="2" t="s">
        <v>798</v>
      </c>
      <c r="W720" s="2" t="s">
        <v>649</v>
      </c>
      <c r="X720" s="2" t="s">
        <v>98</v>
      </c>
      <c r="Y720" s="2" t="s">
        <v>2131</v>
      </c>
      <c r="Z720" s="4"/>
      <c r="AA720" s="4">
        <f>=ROUNDDOWN({0},0)</f>
      </c>
      <c r="AB720" s="5">
        <v>1</v>
      </c>
      <c r="AC720" s="2" t="s">
        <v>98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>
        <v>3.8</v>
      </c>
      <c r="AL720" s="2" t="s">
        <v>98</v>
      </c>
      <c r="AM720" s="4"/>
      <c r="AN720" s="4"/>
      <c r="AO720" s="7">
        <v>0.2667</v>
      </c>
      <c r="AP720" s="4">
        <v>8</v>
      </c>
      <c r="AQ720" s="8">
        <v>172</v>
      </c>
      <c r="AR720" s="4">
        <v>27</v>
      </c>
      <c r="AS720" s="8">
        <v>468.72</v>
      </c>
      <c r="AT720" s="7">
        <v>-0.7037</v>
      </c>
      <c r="AU720" s="7">
        <v>-0.633</v>
      </c>
      <c r="AV720" s="4" t="s">
        <v>98</v>
      </c>
      <c r="AW720" s="8" t="s">
        <v>98</v>
      </c>
      <c r="AX720" s="4" t="s">
        <v>98</v>
      </c>
      <c r="AY720" s="8" t="s">
        <v>98</v>
      </c>
      <c r="AZ720" s="7" t="s">
        <v>98</v>
      </c>
      <c r="BA720" s="7" t="s">
        <v>98</v>
      </c>
      <c r="BB720" s="7">
        <v>0.2446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 t="s">
        <v>98</v>
      </c>
      <c r="BJ720" s="4">
        <v>243</v>
      </c>
      <c r="BK720" s="8">
        <v>4879.99</v>
      </c>
      <c r="BL720" s="2" t="s">
        <v>2170</v>
      </c>
      <c r="BM720" s="7">
        <v>0.0329</v>
      </c>
      <c r="BN720" s="7">
        <v>0.0352</v>
      </c>
      <c r="BO720" s="4">
        <v>8</v>
      </c>
      <c r="BP720" s="8">
        <v>172</v>
      </c>
      <c r="BQ720" s="4">
        <v>27</v>
      </c>
      <c r="BR720" s="8">
        <v>468.72</v>
      </c>
      <c r="BS720" s="7">
        <v>-0.7037</v>
      </c>
      <c r="BT720" s="7">
        <v>-0.633</v>
      </c>
      <c r="BU720" s="2" t="s">
        <v>211</v>
      </c>
      <c r="BV720" s="2" t="s">
        <v>352</v>
      </c>
      <c r="BW720" s="2" t="s">
        <v>524</v>
      </c>
      <c r="BX720" s="2" t="s">
        <v>2399</v>
      </c>
      <c r="BY720" s="2" t="s">
        <v>111</v>
      </c>
    </row>
    <row r="721">
      <c r="A721" s="2" t="s">
        <v>2400</v>
      </c>
      <c r="B721" s="2" t="s">
        <v>86</v>
      </c>
      <c r="C721" s="2" t="s">
        <v>2106</v>
      </c>
      <c r="D721" s="2" t="s">
        <v>88</v>
      </c>
      <c r="E721" s="2" t="s">
        <v>88</v>
      </c>
      <c r="F721" s="2" t="s">
        <v>2392</v>
      </c>
      <c r="G721" s="2" t="s">
        <v>2393</v>
      </c>
      <c r="H721" s="2" t="s">
        <v>2394</v>
      </c>
      <c r="I721" s="2" t="s">
        <v>2395</v>
      </c>
      <c r="J721" s="2" t="s">
        <v>113</v>
      </c>
      <c r="K721" s="2" t="s">
        <v>997</v>
      </c>
      <c r="L721" s="3">
        <v>21.6</v>
      </c>
      <c r="M721" s="3">
        <v>22.68</v>
      </c>
      <c r="N721" s="3">
        <v>47.99</v>
      </c>
      <c r="O721" s="2" t="s">
        <v>368</v>
      </c>
      <c r="P721" s="2" t="s">
        <v>465</v>
      </c>
      <c r="Q721" s="2" t="s">
        <v>97</v>
      </c>
      <c r="R721" s="2" t="s">
        <v>98</v>
      </c>
      <c r="S721" s="2" t="s">
        <v>2396</v>
      </c>
      <c r="T721" s="2" t="s">
        <v>98</v>
      </c>
      <c r="U721" s="2" t="s">
        <v>98</v>
      </c>
      <c r="V721" s="2" t="s">
        <v>798</v>
      </c>
      <c r="W721" s="2" t="s">
        <v>649</v>
      </c>
      <c r="X721" s="2" t="s">
        <v>98</v>
      </c>
      <c r="Y721" s="2" t="s">
        <v>2131</v>
      </c>
      <c r="Z721" s="4"/>
      <c r="AA721" s="4">
        <f>=ROUNDDOWN({0},0)</f>
      </c>
      <c r="AB721" s="5">
        <v>2</v>
      </c>
      <c r="AC721" s="2" t="s">
        <v>98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7</v>
      </c>
      <c r="AQ721" s="8">
        <v>168</v>
      </c>
      <c r="AR721" s="4"/>
      <c r="AS721" s="8"/>
      <c r="AT721" s="7"/>
      <c r="AU721" s="7"/>
      <c r="AV721" s="4" t="s">
        <v>98</v>
      </c>
      <c r="AW721" s="8" t="s">
        <v>98</v>
      </c>
      <c r="AX721" s="4" t="s">
        <v>98</v>
      </c>
      <c r="AY721" s="8" t="s">
        <v>98</v>
      </c>
      <c r="AZ721" s="7" t="s">
        <v>98</v>
      </c>
      <c r="BA721" s="7" t="s">
        <v>98</v>
      </c>
      <c r="BB721" s="7">
        <v>0.2389</v>
      </c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 t="s">
        <v>98</v>
      </c>
      <c r="BJ721" s="4">
        <v>151</v>
      </c>
      <c r="BK721" s="8">
        <v>3404.54</v>
      </c>
      <c r="BL721" s="2" t="s">
        <v>884</v>
      </c>
      <c r="BM721" s="7">
        <v>0.0464</v>
      </c>
      <c r="BN721" s="7">
        <v>0.0493</v>
      </c>
      <c r="BO721" s="4">
        <v>7</v>
      </c>
      <c r="BP721" s="8">
        <v>168</v>
      </c>
      <c r="BQ721" s="4"/>
      <c r="BR721" s="8"/>
      <c r="BS721" s="7"/>
      <c r="BT721" s="7"/>
      <c r="BU721" s="2" t="s">
        <v>211</v>
      </c>
      <c r="BV721" s="2" t="s">
        <v>352</v>
      </c>
      <c r="BW721" s="2" t="s">
        <v>524</v>
      </c>
      <c r="BX721" s="2" t="s">
        <v>2401</v>
      </c>
      <c r="BY721" s="2" t="s">
        <v>111</v>
      </c>
    </row>
    <row r="722">
      <c r="A722" s="2" t="s">
        <v>2402</v>
      </c>
      <c r="B722" s="2" t="s">
        <v>86</v>
      </c>
      <c r="C722" s="2" t="s">
        <v>2106</v>
      </c>
      <c r="D722" s="2" t="s">
        <v>88</v>
      </c>
      <c r="E722" s="2" t="s">
        <v>88</v>
      </c>
      <c r="F722" s="2" t="s">
        <v>2392</v>
      </c>
      <c r="G722" s="2" t="s">
        <v>2393</v>
      </c>
      <c r="H722" s="2" t="s">
        <v>2394</v>
      </c>
      <c r="I722" s="2" t="s">
        <v>2395</v>
      </c>
      <c r="J722" s="2" t="s">
        <v>331</v>
      </c>
      <c r="K722" s="2" t="s">
        <v>458</v>
      </c>
      <c r="L722" s="3">
        <v>16.72</v>
      </c>
      <c r="M722" s="3">
        <v>17.56</v>
      </c>
      <c r="N722" s="3">
        <v>37.99</v>
      </c>
      <c r="O722" s="2" t="s">
        <v>368</v>
      </c>
      <c r="P722" s="2" t="s">
        <v>215</v>
      </c>
      <c r="Q722" s="2" t="s">
        <v>97</v>
      </c>
      <c r="R722" s="2" t="s">
        <v>98</v>
      </c>
      <c r="S722" s="2" t="s">
        <v>2403</v>
      </c>
      <c r="T722" s="2" t="s">
        <v>98</v>
      </c>
      <c r="U722" s="2" t="s">
        <v>98</v>
      </c>
      <c r="V722" s="2" t="s">
        <v>798</v>
      </c>
      <c r="W722" s="2" t="s">
        <v>649</v>
      </c>
      <c r="X722" s="2" t="s">
        <v>98</v>
      </c>
      <c r="Y722" s="2" t="s">
        <v>2131</v>
      </c>
      <c r="Z722" s="4"/>
      <c r="AA722" s="4">
        <f>=ROUNDDOWN({0},0)</f>
      </c>
      <c r="AB722" s="5">
        <v>3.5</v>
      </c>
      <c r="AC722" s="2" t="s">
        <v>98</v>
      </c>
      <c r="AD722" s="4"/>
      <c r="AE722" s="4"/>
      <c r="AF722" s="6">
        <v>65</v>
      </c>
      <c r="AG722" s="6"/>
      <c r="AH722" s="7">
        <v>0.9889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29</v>
      </c>
      <c r="AQ722" s="8">
        <v>269.99</v>
      </c>
      <c r="AR722" s="4">
        <v>16</v>
      </c>
      <c r="AS722" s="8">
        <v>238.24</v>
      </c>
      <c r="AT722" s="7">
        <v>0.8125</v>
      </c>
      <c r="AU722" s="7">
        <v>0.1333</v>
      </c>
      <c r="AV722" s="4">
        <v>35</v>
      </c>
      <c r="AW722" s="8">
        <v>413.99</v>
      </c>
      <c r="AX722" s="4">
        <v>76</v>
      </c>
      <c r="AY722" s="8">
        <v>1344.63</v>
      </c>
      <c r="AZ722" s="7">
        <v>-0.5395</v>
      </c>
      <c r="BA722" s="7">
        <v>-0.6921</v>
      </c>
      <c r="BB722" s="7">
        <v>0.6522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>
        <v>0.3706</v>
      </c>
      <c r="BJ722" s="4">
        <v>199</v>
      </c>
      <c r="BK722" s="8">
        <v>2383.32</v>
      </c>
      <c r="BL722" s="2" t="s">
        <v>512</v>
      </c>
      <c r="BM722" s="7">
        <v>0.1457</v>
      </c>
      <c r="BN722" s="7">
        <v>0.1133</v>
      </c>
      <c r="BO722" s="4">
        <v>29</v>
      </c>
      <c r="BP722" s="8">
        <v>269.99</v>
      </c>
      <c r="BQ722" s="4">
        <v>16</v>
      </c>
      <c r="BR722" s="8">
        <v>238.24</v>
      </c>
      <c r="BS722" s="7">
        <v>0.8125</v>
      </c>
      <c r="BT722" s="7">
        <v>0.1333</v>
      </c>
      <c r="BU722" s="2" t="s">
        <v>211</v>
      </c>
      <c r="BV722" s="2" t="s">
        <v>352</v>
      </c>
      <c r="BW722" s="2" t="s">
        <v>524</v>
      </c>
      <c r="BX722" s="2" t="s">
        <v>2404</v>
      </c>
      <c r="BY722" s="2" t="s">
        <v>354</v>
      </c>
    </row>
    <row r="723">
      <c r="A723" s="2" t="s">
        <v>2405</v>
      </c>
      <c r="B723" s="2" t="s">
        <v>86</v>
      </c>
      <c r="C723" s="2" t="s">
        <v>2106</v>
      </c>
      <c r="D723" s="2" t="s">
        <v>88</v>
      </c>
      <c r="E723" s="2" t="s">
        <v>88</v>
      </c>
      <c r="F723" s="2" t="s">
        <v>2392</v>
      </c>
      <c r="G723" s="2" t="s">
        <v>2393</v>
      </c>
      <c r="H723" s="2" t="s">
        <v>2394</v>
      </c>
      <c r="I723" s="2" t="s">
        <v>2395</v>
      </c>
      <c r="J723" s="2" t="s">
        <v>93</v>
      </c>
      <c r="K723" s="2" t="s">
        <v>458</v>
      </c>
      <c r="L723" s="3">
        <v>18.92</v>
      </c>
      <c r="M723" s="3">
        <v>19.87</v>
      </c>
      <c r="N723" s="3">
        <v>42.99</v>
      </c>
      <c r="O723" s="2" t="s">
        <v>95</v>
      </c>
      <c r="P723" s="2" t="s">
        <v>465</v>
      </c>
      <c r="Q723" s="2" t="s">
        <v>97</v>
      </c>
      <c r="R723" s="2" t="s">
        <v>98</v>
      </c>
      <c r="S723" s="2" t="s">
        <v>2403</v>
      </c>
      <c r="T723" s="2" t="s">
        <v>98</v>
      </c>
      <c r="U723" s="2" t="s">
        <v>98</v>
      </c>
      <c r="V723" s="2" t="s">
        <v>798</v>
      </c>
      <c r="W723" s="2" t="s">
        <v>649</v>
      </c>
      <c r="X723" s="2" t="s">
        <v>98</v>
      </c>
      <c r="Y723" s="2" t="s">
        <v>2131</v>
      </c>
      <c r="Z723" s="4"/>
      <c r="AA723" s="4">
        <f>=ROUNDDOWN({0},0)</f>
      </c>
      <c r="AB723" s="5">
        <v>3.5</v>
      </c>
      <c r="AC723" s="2" t="s">
        <v>98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>
        <v>29</v>
      </c>
      <c r="AS723" s="8">
        <v>503.44</v>
      </c>
      <c r="AT723" s="7">
        <v>-1</v>
      </c>
      <c r="AU723" s="7">
        <v>-1</v>
      </c>
      <c r="AV723" s="4" t="s">
        <v>98</v>
      </c>
      <c r="AW723" s="8" t="s">
        <v>98</v>
      </c>
      <c r="AX723" s="4" t="s">
        <v>98</v>
      </c>
      <c r="AY723" s="8" t="s">
        <v>98</v>
      </c>
      <c r="AZ723" s="7" t="s">
        <v>98</v>
      </c>
      <c r="BA723" s="7" t="s">
        <v>98</v>
      </c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 t="s">
        <v>98</v>
      </c>
      <c r="BJ723" s="4">
        <v>224</v>
      </c>
      <c r="BK723" s="8">
        <v>4443.22</v>
      </c>
      <c r="BL723" s="2" t="s">
        <v>1001</v>
      </c>
      <c r="BM723" s="7"/>
      <c r="BN723" s="7"/>
      <c r="BO723" s="4"/>
      <c r="BP723" s="8"/>
      <c r="BQ723" s="4">
        <v>29</v>
      </c>
      <c r="BR723" s="8">
        <v>503.44</v>
      </c>
      <c r="BS723" s="7">
        <v>-1</v>
      </c>
      <c r="BT723" s="7">
        <v>-1</v>
      </c>
      <c r="BU723" s="2" t="s">
        <v>211</v>
      </c>
      <c r="BV723" s="2" t="s">
        <v>352</v>
      </c>
      <c r="BW723" s="2" t="s">
        <v>524</v>
      </c>
      <c r="BX723" s="2" t="s">
        <v>2406</v>
      </c>
      <c r="BY723" s="2" t="s">
        <v>111</v>
      </c>
    </row>
    <row r="724">
      <c r="A724" s="2" t="s">
        <v>2407</v>
      </c>
      <c r="B724" s="2" t="s">
        <v>86</v>
      </c>
      <c r="C724" s="2" t="s">
        <v>2106</v>
      </c>
      <c r="D724" s="2" t="s">
        <v>88</v>
      </c>
      <c r="E724" s="2" t="s">
        <v>88</v>
      </c>
      <c r="F724" s="2" t="s">
        <v>2392</v>
      </c>
      <c r="G724" s="2" t="s">
        <v>2393</v>
      </c>
      <c r="H724" s="2" t="s">
        <v>2394</v>
      </c>
      <c r="I724" s="2" t="s">
        <v>2395</v>
      </c>
      <c r="J724" s="2" t="s">
        <v>113</v>
      </c>
      <c r="K724" s="2" t="s">
        <v>458</v>
      </c>
      <c r="L724" s="3">
        <v>21.6</v>
      </c>
      <c r="M724" s="3">
        <v>22.68</v>
      </c>
      <c r="N724" s="3">
        <v>47.99</v>
      </c>
      <c r="O724" s="2" t="s">
        <v>95</v>
      </c>
      <c r="P724" s="2" t="s">
        <v>465</v>
      </c>
      <c r="Q724" s="2" t="s">
        <v>97</v>
      </c>
      <c r="R724" s="2" t="s">
        <v>98</v>
      </c>
      <c r="S724" s="2" t="s">
        <v>2403</v>
      </c>
      <c r="T724" s="2" t="s">
        <v>98</v>
      </c>
      <c r="U724" s="2" t="s">
        <v>98</v>
      </c>
      <c r="V724" s="2" t="s">
        <v>798</v>
      </c>
      <c r="W724" s="2" t="s">
        <v>649</v>
      </c>
      <c r="X724" s="2" t="s">
        <v>98</v>
      </c>
      <c r="Y724" s="2" t="s">
        <v>2131</v>
      </c>
      <c r="Z724" s="4">
        <v>144</v>
      </c>
      <c r="AA724" s="4">
        <f>=ROUNDDOWN(48,0)</f>
      </c>
      <c r="AB724" s="5">
        <v>3</v>
      </c>
      <c r="AC724" s="2" t="s">
        <v>98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6</v>
      </c>
      <c r="AQ724" s="8">
        <v>144</v>
      </c>
      <c r="AR724" s="4">
        <v>31</v>
      </c>
      <c r="AS724" s="8">
        <v>602.95</v>
      </c>
      <c r="AT724" s="7">
        <v>-0.8065</v>
      </c>
      <c r="AU724" s="7">
        <v>-0.7612</v>
      </c>
      <c r="AV724" s="4" t="s">
        <v>98</v>
      </c>
      <c r="AW724" s="8" t="s">
        <v>98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>
        <v>0.3478</v>
      </c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 t="s">
        <v>98</v>
      </c>
      <c r="BJ724" s="4">
        <v>90</v>
      </c>
      <c r="BK724" s="8">
        <v>1990.38</v>
      </c>
      <c r="BL724" s="2" t="s">
        <v>398</v>
      </c>
      <c r="BM724" s="7">
        <v>0.0667</v>
      </c>
      <c r="BN724" s="7">
        <v>0.0723</v>
      </c>
      <c r="BO724" s="4">
        <v>6</v>
      </c>
      <c r="BP724" s="8">
        <v>144</v>
      </c>
      <c r="BQ724" s="4">
        <v>31</v>
      </c>
      <c r="BR724" s="8">
        <v>602.95</v>
      </c>
      <c r="BS724" s="7">
        <v>-0.8065</v>
      </c>
      <c r="BT724" s="7">
        <v>-0.7612</v>
      </c>
      <c r="BU724" s="2" t="s">
        <v>211</v>
      </c>
      <c r="BV724" s="2" t="s">
        <v>95</v>
      </c>
      <c r="BW724" s="2" t="s">
        <v>524</v>
      </c>
      <c r="BX724" s="2" t="s">
        <v>2408</v>
      </c>
      <c r="BY724" s="2" t="s">
        <v>111</v>
      </c>
    </row>
    <row r="725">
      <c r="A725" s="2" t="s">
        <v>2409</v>
      </c>
      <c r="B725" s="2" t="s">
        <v>86</v>
      </c>
      <c r="C725" s="2" t="s">
        <v>2106</v>
      </c>
      <c r="D725" s="2" t="s">
        <v>88</v>
      </c>
      <c r="E725" s="2" t="s">
        <v>88</v>
      </c>
      <c r="F725" s="2" t="s">
        <v>1071</v>
      </c>
      <c r="G725" s="2" t="s">
        <v>1072</v>
      </c>
      <c r="H725" s="2" t="s">
        <v>1073</v>
      </c>
      <c r="I725" s="2" t="s">
        <v>2410</v>
      </c>
      <c r="J725" s="2" t="s">
        <v>93</v>
      </c>
      <c r="K725" s="2" t="s">
        <v>458</v>
      </c>
      <c r="L725" s="3">
        <v>18</v>
      </c>
      <c r="M725" s="3">
        <v>18.9</v>
      </c>
      <c r="N725" s="3">
        <v>39.99</v>
      </c>
      <c r="O725" s="2" t="s">
        <v>368</v>
      </c>
      <c r="P725" s="2" t="s">
        <v>215</v>
      </c>
      <c r="Q725" s="2" t="s">
        <v>97</v>
      </c>
      <c r="R725" s="2" t="s">
        <v>98</v>
      </c>
      <c r="S725" s="2" t="s">
        <v>1075</v>
      </c>
      <c r="T725" s="2" t="s">
        <v>98</v>
      </c>
      <c r="U725" s="2" t="s">
        <v>100</v>
      </c>
      <c r="V725" s="2" t="s">
        <v>334</v>
      </c>
      <c r="W725" s="2" t="s">
        <v>102</v>
      </c>
      <c r="X725" s="2" t="s">
        <v>335</v>
      </c>
      <c r="Y725" s="2" t="s">
        <v>1076</v>
      </c>
      <c r="Z725" s="4">
        <v>6</v>
      </c>
      <c r="AA725" s="4">
        <f>=ROUNDDOWN({0},0)</f>
      </c>
      <c r="AB725" s="5"/>
      <c r="AC725" s="2" t="s">
        <v>98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42</v>
      </c>
      <c r="AQ725" s="8">
        <v>417.06</v>
      </c>
      <c r="AR725" s="4"/>
      <c r="AS725" s="8"/>
      <c r="AT725" s="7"/>
      <c r="AU725" s="7"/>
      <c r="AV725" s="4">
        <v>49</v>
      </c>
      <c r="AW725" s="8">
        <v>496.16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>
        <v>0.8406</v>
      </c>
      <c r="BC725" s="4">
        <v>75</v>
      </c>
      <c r="BD725" s="8">
        <v>806.69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0.6151</v>
      </c>
      <c r="BJ725" s="4">
        <v>95</v>
      </c>
      <c r="BK725" s="8">
        <v>1455.41</v>
      </c>
      <c r="BL725" s="2" t="s">
        <v>2411</v>
      </c>
      <c r="BM725" s="7">
        <v>0.4421</v>
      </c>
      <c r="BN725" s="7">
        <v>0.2866</v>
      </c>
      <c r="BO725" s="4">
        <v>42</v>
      </c>
      <c r="BP725" s="8">
        <v>417.06</v>
      </c>
      <c r="BQ725" s="4"/>
      <c r="BR725" s="8"/>
      <c r="BS725" s="7"/>
      <c r="BT725" s="7"/>
      <c r="BU725" s="2" t="s">
        <v>211</v>
      </c>
      <c r="BV725" s="2" t="s">
        <v>352</v>
      </c>
      <c r="BW725" s="2" t="s">
        <v>606</v>
      </c>
      <c r="BX725" s="2" t="s">
        <v>2412</v>
      </c>
      <c r="BY725" s="2" t="s">
        <v>354</v>
      </c>
    </row>
    <row r="726">
      <c r="A726" s="2" t="s">
        <v>2413</v>
      </c>
      <c r="B726" s="2" t="s">
        <v>86</v>
      </c>
      <c r="C726" s="2" t="s">
        <v>2106</v>
      </c>
      <c r="D726" s="2" t="s">
        <v>88</v>
      </c>
      <c r="E726" s="2" t="s">
        <v>88</v>
      </c>
      <c r="F726" s="2" t="s">
        <v>1071</v>
      </c>
      <c r="G726" s="2" t="s">
        <v>1072</v>
      </c>
      <c r="H726" s="2" t="s">
        <v>1073</v>
      </c>
      <c r="I726" s="2" t="s">
        <v>2410</v>
      </c>
      <c r="J726" s="2" t="s">
        <v>113</v>
      </c>
      <c r="K726" s="2" t="s">
        <v>458</v>
      </c>
      <c r="L726" s="3">
        <v>20.5</v>
      </c>
      <c r="M726" s="3">
        <v>21.53</v>
      </c>
      <c r="N726" s="3">
        <v>44.99</v>
      </c>
      <c r="O726" s="2" t="s">
        <v>368</v>
      </c>
      <c r="P726" s="2" t="s">
        <v>215</v>
      </c>
      <c r="Q726" s="2" t="s">
        <v>97</v>
      </c>
      <c r="R726" s="2" t="s">
        <v>98</v>
      </c>
      <c r="S726" s="2" t="s">
        <v>1075</v>
      </c>
      <c r="T726" s="2" t="s">
        <v>98</v>
      </c>
      <c r="U726" s="2" t="s">
        <v>100</v>
      </c>
      <c r="V726" s="2" t="s">
        <v>334</v>
      </c>
      <c r="W726" s="2" t="s">
        <v>102</v>
      </c>
      <c r="X726" s="2" t="s">
        <v>335</v>
      </c>
      <c r="Y726" s="2" t="s">
        <v>1076</v>
      </c>
      <c r="Z726" s="4">
        <v>5</v>
      </c>
      <c r="AA726" s="4">
        <f>=ROUNDDOWN(2.38095238095238,0)</f>
      </c>
      <c r="AB726" s="5">
        <v>2.1</v>
      </c>
      <c r="AC726" s="2" t="s">
        <v>98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7</v>
      </c>
      <c r="AQ726" s="8">
        <v>79.1</v>
      </c>
      <c r="AR726" s="4"/>
      <c r="AS726" s="8"/>
      <c r="AT726" s="7"/>
      <c r="AU726" s="7"/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>
        <v>0.1594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 t="s">
        <v>98</v>
      </c>
      <c r="BJ726" s="4">
        <v>26</v>
      </c>
      <c r="BK726" s="8">
        <v>387.51</v>
      </c>
      <c r="BL726" s="2" t="s">
        <v>2414</v>
      </c>
      <c r="BM726" s="7">
        <v>0.2692</v>
      </c>
      <c r="BN726" s="7">
        <v>0.2041</v>
      </c>
      <c r="BO726" s="4">
        <v>7</v>
      </c>
      <c r="BP726" s="8">
        <v>79.1</v>
      </c>
      <c r="BQ726" s="4"/>
      <c r="BR726" s="8"/>
      <c r="BS726" s="7"/>
      <c r="BT726" s="7"/>
      <c r="BU726" s="2" t="s">
        <v>211</v>
      </c>
      <c r="BV726" s="2" t="s">
        <v>352</v>
      </c>
      <c r="BW726" s="2" t="s">
        <v>606</v>
      </c>
      <c r="BX726" s="2" t="s">
        <v>1054</v>
      </c>
      <c r="BY726" s="2" t="s">
        <v>354</v>
      </c>
    </row>
    <row r="727">
      <c r="A727" s="2" t="s">
        <v>2415</v>
      </c>
      <c r="B727" s="2" t="s">
        <v>86</v>
      </c>
      <c r="C727" s="2" t="s">
        <v>2106</v>
      </c>
      <c r="D727" s="2" t="s">
        <v>88</v>
      </c>
      <c r="E727" s="2" t="s">
        <v>88</v>
      </c>
      <c r="F727" s="2" t="s">
        <v>1071</v>
      </c>
      <c r="G727" s="2" t="s">
        <v>1072</v>
      </c>
      <c r="H727" s="2" t="s">
        <v>1073</v>
      </c>
      <c r="I727" s="2" t="s">
        <v>2410</v>
      </c>
      <c r="J727" s="2" t="s">
        <v>2416</v>
      </c>
      <c r="K727" s="2" t="s">
        <v>997</v>
      </c>
      <c r="L727" s="3">
        <v>18</v>
      </c>
      <c r="M727" s="3">
        <v>18.9</v>
      </c>
      <c r="N727" s="3">
        <v>39.99</v>
      </c>
      <c r="O727" s="2" t="s">
        <v>368</v>
      </c>
      <c r="P727" s="2" t="s">
        <v>215</v>
      </c>
      <c r="Q727" s="2" t="s">
        <v>97</v>
      </c>
      <c r="R727" s="2" t="s">
        <v>98</v>
      </c>
      <c r="S727" s="2" t="s">
        <v>1087</v>
      </c>
      <c r="T727" s="2" t="s">
        <v>98</v>
      </c>
      <c r="U727" s="2" t="s">
        <v>100</v>
      </c>
      <c r="V727" s="2" t="s">
        <v>334</v>
      </c>
      <c r="W727" s="2" t="s">
        <v>102</v>
      </c>
      <c r="X727" s="2" t="s">
        <v>335</v>
      </c>
      <c r="Y727" s="2" t="s">
        <v>1076</v>
      </c>
      <c r="Z727" s="4"/>
      <c r="AA727" s="4">
        <f>=ROUNDDOWN({0},0)</f>
      </c>
      <c r="AB727" s="5">
        <v>2</v>
      </c>
      <c r="AC727" s="2" t="s">
        <v>98</v>
      </c>
      <c r="AD727" s="4"/>
      <c r="AE727" s="4"/>
      <c r="AF727" s="6">
        <v>65</v>
      </c>
      <c r="AG727" s="6"/>
      <c r="AH727" s="7">
        <v>0.9111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21</v>
      </c>
      <c r="AQ727" s="8">
        <v>208.53</v>
      </c>
      <c r="AR727" s="4"/>
      <c r="AS727" s="8"/>
      <c r="AT727" s="7"/>
      <c r="AU727" s="7"/>
      <c r="AV727" s="4">
        <v>22</v>
      </c>
      <c r="AW727" s="8">
        <v>231.13</v>
      </c>
      <c r="AX727" s="4" t="s">
        <v>98</v>
      </c>
      <c r="AY727" s="8" t="s">
        <v>98</v>
      </c>
      <c r="AZ727" s="7" t="s">
        <v>98</v>
      </c>
      <c r="BA727" s="7" t="s">
        <v>98</v>
      </c>
      <c r="BB727" s="7">
        <v>0.9022</v>
      </c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>
        <v>0.2865</v>
      </c>
      <c r="BJ727" s="4">
        <v>50</v>
      </c>
      <c r="BK727" s="8">
        <v>733.56</v>
      </c>
      <c r="BL727" s="2" t="s">
        <v>2417</v>
      </c>
      <c r="BM727" s="7">
        <v>0.42</v>
      </c>
      <c r="BN727" s="7">
        <v>0.2843</v>
      </c>
      <c r="BO727" s="4">
        <v>21</v>
      </c>
      <c r="BP727" s="8">
        <v>208.53</v>
      </c>
      <c r="BQ727" s="4"/>
      <c r="BR727" s="8"/>
      <c r="BS727" s="7"/>
      <c r="BT727" s="7"/>
      <c r="BU727" s="2" t="s">
        <v>211</v>
      </c>
      <c r="BV727" s="2" t="s">
        <v>352</v>
      </c>
      <c r="BW727" s="2" t="s">
        <v>606</v>
      </c>
      <c r="BX727" s="2" t="s">
        <v>2418</v>
      </c>
      <c r="BY727" s="2" t="s">
        <v>354</v>
      </c>
    </row>
    <row r="728">
      <c r="A728" s="2" t="s">
        <v>2419</v>
      </c>
      <c r="B728" s="2" t="s">
        <v>86</v>
      </c>
      <c r="C728" s="2" t="s">
        <v>2106</v>
      </c>
      <c r="D728" s="2" t="s">
        <v>88</v>
      </c>
      <c r="E728" s="2" t="s">
        <v>88</v>
      </c>
      <c r="F728" s="2" t="s">
        <v>1071</v>
      </c>
      <c r="G728" s="2" t="s">
        <v>1072</v>
      </c>
      <c r="H728" s="2" t="s">
        <v>1073</v>
      </c>
      <c r="I728" s="2" t="s">
        <v>2410</v>
      </c>
      <c r="J728" s="2" t="s">
        <v>2420</v>
      </c>
      <c r="K728" s="2" t="s">
        <v>997</v>
      </c>
      <c r="L728" s="3">
        <v>20.5</v>
      </c>
      <c r="M728" s="3">
        <v>21.53</v>
      </c>
      <c r="N728" s="3">
        <v>44.99</v>
      </c>
      <c r="O728" s="2" t="s">
        <v>368</v>
      </c>
      <c r="P728" s="2" t="s">
        <v>215</v>
      </c>
      <c r="Q728" s="2" t="s">
        <v>97</v>
      </c>
      <c r="R728" s="2" t="s">
        <v>98</v>
      </c>
      <c r="S728" s="2" t="s">
        <v>1087</v>
      </c>
      <c r="T728" s="2" t="s">
        <v>98</v>
      </c>
      <c r="U728" s="2" t="s">
        <v>100</v>
      </c>
      <c r="V728" s="2" t="s">
        <v>334</v>
      </c>
      <c r="W728" s="2" t="s">
        <v>102</v>
      </c>
      <c r="X728" s="2" t="s">
        <v>335</v>
      </c>
      <c r="Y728" s="2" t="s">
        <v>1076</v>
      </c>
      <c r="Z728" s="4"/>
      <c r="AA728" s="4">
        <f>=ROUNDDOWN({0},0)</f>
      </c>
      <c r="AB728" s="5">
        <v>0.2</v>
      </c>
      <c r="AC728" s="2" t="s">
        <v>98</v>
      </c>
      <c r="AD728" s="4"/>
      <c r="AE728" s="4"/>
      <c r="AF728" s="6">
        <v>65</v>
      </c>
      <c r="AG728" s="6"/>
      <c r="AH728" s="7">
        <v>0.4222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22.6</v>
      </c>
      <c r="AR728" s="4"/>
      <c r="AS728" s="8"/>
      <c r="AT728" s="7"/>
      <c r="AU728" s="7"/>
      <c r="AV728" s="4" t="s">
        <v>98</v>
      </c>
      <c r="AW728" s="8" t="s">
        <v>98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>
        <v>0.0978</v>
      </c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 t="s">
        <v>98</v>
      </c>
      <c r="BJ728" s="4">
        <v>1</v>
      </c>
      <c r="BK728" s="8">
        <v>22.6</v>
      </c>
      <c r="BL728" s="2" t="s">
        <v>16</v>
      </c>
      <c r="BM728" s="7">
        <v>1</v>
      </c>
      <c r="BN728" s="7">
        <v>1</v>
      </c>
      <c r="BO728" s="4">
        <v>1</v>
      </c>
      <c r="BP728" s="8">
        <v>22.6</v>
      </c>
      <c r="BQ728" s="4"/>
      <c r="BR728" s="8"/>
      <c r="BS728" s="7"/>
      <c r="BT728" s="7"/>
      <c r="BU728" s="2" t="s">
        <v>211</v>
      </c>
      <c r="BV728" s="2" t="s">
        <v>352</v>
      </c>
      <c r="BW728" s="2" t="s">
        <v>606</v>
      </c>
      <c r="BX728" s="2" t="s">
        <v>2421</v>
      </c>
      <c r="BY728" s="2" t="s">
        <v>111</v>
      </c>
    </row>
    <row r="729">
      <c r="A729" s="2" t="s">
        <v>2422</v>
      </c>
      <c r="B729" s="2" t="s">
        <v>86</v>
      </c>
      <c r="C729" s="2" t="s">
        <v>2106</v>
      </c>
      <c r="D729" s="2" t="s">
        <v>88</v>
      </c>
      <c r="E729" s="2" t="s">
        <v>88</v>
      </c>
      <c r="F729" s="2" t="s">
        <v>1071</v>
      </c>
      <c r="G729" s="2" t="s">
        <v>1072</v>
      </c>
      <c r="H729" s="2" t="s">
        <v>1073</v>
      </c>
      <c r="I729" s="2" t="s">
        <v>2410</v>
      </c>
      <c r="J729" s="2" t="s">
        <v>93</v>
      </c>
      <c r="K729" s="2" t="s">
        <v>94</v>
      </c>
      <c r="L729" s="3">
        <v>18</v>
      </c>
      <c r="M729" s="3">
        <v>18.9</v>
      </c>
      <c r="N729" s="3">
        <v>39.99</v>
      </c>
      <c r="O729" s="2" t="s">
        <v>368</v>
      </c>
      <c r="P729" s="2" t="s">
        <v>215</v>
      </c>
      <c r="Q729" s="2" t="s">
        <v>97</v>
      </c>
      <c r="R729" s="2" t="s">
        <v>98</v>
      </c>
      <c r="S729" s="2" t="s">
        <v>2423</v>
      </c>
      <c r="T729" s="2" t="s">
        <v>98</v>
      </c>
      <c r="U729" s="2" t="s">
        <v>100</v>
      </c>
      <c r="V729" s="2" t="s">
        <v>334</v>
      </c>
      <c r="W729" s="2" t="s">
        <v>102</v>
      </c>
      <c r="X729" s="2" t="s">
        <v>335</v>
      </c>
      <c r="Y729" s="2" t="s">
        <v>1076</v>
      </c>
      <c r="Z729" s="4">
        <v>1</v>
      </c>
      <c r="AA729" s="4">
        <f>=ROUNDDOWN({0},0)</f>
      </c>
      <c r="AB729" s="5"/>
      <c r="AC729" s="2" t="s">
        <v>98</v>
      </c>
      <c r="AD729" s="4"/>
      <c r="AE729" s="4"/>
      <c r="AF729" s="6">
        <v>65</v>
      </c>
      <c r="AG729" s="6"/>
      <c r="AH729" s="7">
        <v>0.9333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4</v>
      </c>
      <c r="AQ729" s="8">
        <v>79.4</v>
      </c>
      <c r="AR729" s="4"/>
      <c r="AS729" s="8"/>
      <c r="AT729" s="7"/>
      <c r="AU729" s="7"/>
      <c r="AV729" s="4">
        <v>4</v>
      </c>
      <c r="AW729" s="8">
        <v>79.4</v>
      </c>
      <c r="AX729" s="4"/>
      <c r="AY729" s="8"/>
      <c r="AZ729" s="7"/>
      <c r="BA729" s="7"/>
      <c r="BB729" s="7">
        <v>1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0.0984</v>
      </c>
      <c r="BJ729" s="4">
        <v>31</v>
      </c>
      <c r="BK729" s="8">
        <v>615.74</v>
      </c>
      <c r="BL729" s="2" t="s">
        <v>2424</v>
      </c>
      <c r="BM729" s="7">
        <v>0.129</v>
      </c>
      <c r="BN729" s="7">
        <v>0.129</v>
      </c>
      <c r="BO729" s="4">
        <v>4</v>
      </c>
      <c r="BP729" s="8">
        <v>79.4</v>
      </c>
      <c r="BQ729" s="4"/>
      <c r="BR729" s="8"/>
      <c r="BS729" s="7"/>
      <c r="BT729" s="7"/>
      <c r="BU729" s="2" t="s">
        <v>211</v>
      </c>
      <c r="BV729" s="2" t="s">
        <v>352</v>
      </c>
      <c r="BW729" s="2" t="s">
        <v>606</v>
      </c>
      <c r="BX729" s="2" t="s">
        <v>1114</v>
      </c>
      <c r="BY729" s="2" t="s">
        <v>111</v>
      </c>
    </row>
    <row r="730">
      <c r="A730" s="2" t="s">
        <v>2425</v>
      </c>
      <c r="B730" s="2" t="s">
        <v>86</v>
      </c>
      <c r="C730" s="2" t="s">
        <v>2106</v>
      </c>
      <c r="D730" s="2" t="s">
        <v>88</v>
      </c>
      <c r="E730" s="2" t="s">
        <v>88</v>
      </c>
      <c r="F730" s="2" t="s">
        <v>2426</v>
      </c>
      <c r="G730" s="2" t="s">
        <v>2427</v>
      </c>
      <c r="H730" s="2" t="s">
        <v>2428</v>
      </c>
      <c r="I730" s="2" t="s">
        <v>2429</v>
      </c>
      <c r="J730" s="2" t="s">
        <v>93</v>
      </c>
      <c r="K730" s="2" t="s">
        <v>551</v>
      </c>
      <c r="L730" s="3">
        <v>15.05</v>
      </c>
      <c r="M730" s="3">
        <v>15.8</v>
      </c>
      <c r="N730" s="3">
        <v>34.99</v>
      </c>
      <c r="O730" s="2" t="s">
        <v>95</v>
      </c>
      <c r="P730" s="2" t="s">
        <v>150</v>
      </c>
      <c r="Q730" s="2" t="s">
        <v>97</v>
      </c>
      <c r="R730" s="2" t="s">
        <v>98</v>
      </c>
      <c r="S730" s="2" t="s">
        <v>2430</v>
      </c>
      <c r="T730" s="2" t="s">
        <v>98</v>
      </c>
      <c r="U730" s="2" t="s">
        <v>98</v>
      </c>
      <c r="V730" s="2" t="s">
        <v>762</v>
      </c>
      <c r="W730" s="2" t="s">
        <v>567</v>
      </c>
      <c r="X730" s="2" t="s">
        <v>103</v>
      </c>
      <c r="Y730" s="2" t="s">
        <v>2431</v>
      </c>
      <c r="Z730" s="4">
        <v>601</v>
      </c>
      <c r="AA730" s="4">
        <f>=ROUNDDOWN(26.1304347826087,0)</f>
      </c>
      <c r="AB730" s="5">
        <v>23</v>
      </c>
      <c r="AC730" s="2" t="s">
        <v>250</v>
      </c>
      <c r="AD730" s="4">
        <v>500</v>
      </c>
      <c r="AE730" s="4">
        <v>852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14</v>
      </c>
      <c r="AQ730" s="8">
        <v>235.2</v>
      </c>
      <c r="AR730" s="4">
        <v>119</v>
      </c>
      <c r="AS730" s="8">
        <v>1593.41</v>
      </c>
      <c r="AT730" s="7">
        <v>-0.8824</v>
      </c>
      <c r="AU730" s="7">
        <v>-0.8524</v>
      </c>
      <c r="AV730" s="4">
        <v>18</v>
      </c>
      <c r="AW730" s="8">
        <v>313.6</v>
      </c>
      <c r="AX730" s="4">
        <v>155</v>
      </c>
      <c r="AY730" s="8">
        <v>2155.73</v>
      </c>
      <c r="AZ730" s="7">
        <v>-0.8839</v>
      </c>
      <c r="BA730" s="7">
        <v>-0.8545</v>
      </c>
      <c r="BB730" s="7">
        <v>0.75</v>
      </c>
      <c r="BC730" s="4">
        <v>33</v>
      </c>
      <c r="BD730" s="8">
        <v>559.64</v>
      </c>
      <c r="BE730" s="4">
        <v>155</v>
      </c>
      <c r="BF730" s="8">
        <v>2155.73</v>
      </c>
      <c r="BG730" s="7">
        <v>-0.7871</v>
      </c>
      <c r="BH730" s="7">
        <v>-0.7404</v>
      </c>
      <c r="BI730" s="7">
        <v>0.5604</v>
      </c>
      <c r="BJ730" s="4">
        <v>275</v>
      </c>
      <c r="BK730" s="8">
        <v>4152.89</v>
      </c>
      <c r="BL730" s="2" t="s">
        <v>2432</v>
      </c>
      <c r="BM730" s="7">
        <v>0.0509</v>
      </c>
      <c r="BN730" s="7">
        <v>0.0566</v>
      </c>
      <c r="BO730" s="4">
        <v>14</v>
      </c>
      <c r="BP730" s="8">
        <v>235.2</v>
      </c>
      <c r="BQ730" s="4">
        <v>119</v>
      </c>
      <c r="BR730" s="8">
        <v>1593.41</v>
      </c>
      <c r="BS730" s="7">
        <v>-0.8824</v>
      </c>
      <c r="BT730" s="7">
        <v>-0.8524</v>
      </c>
      <c r="BU730" s="2" t="s">
        <v>107</v>
      </c>
      <c r="BV730" s="2" t="s">
        <v>108</v>
      </c>
      <c r="BW730" s="2" t="s">
        <v>2115</v>
      </c>
      <c r="BX730" s="2" t="s">
        <v>2433</v>
      </c>
      <c r="BY730" s="2" t="s">
        <v>111</v>
      </c>
    </row>
    <row r="731">
      <c r="A731" s="2" t="s">
        <v>2434</v>
      </c>
      <c r="B731" s="2" t="s">
        <v>86</v>
      </c>
      <c r="C731" s="2" t="s">
        <v>2106</v>
      </c>
      <c r="D731" s="2" t="s">
        <v>88</v>
      </c>
      <c r="E731" s="2" t="s">
        <v>88</v>
      </c>
      <c r="F731" s="2" t="s">
        <v>2426</v>
      </c>
      <c r="G731" s="2" t="s">
        <v>2427</v>
      </c>
      <c r="H731" s="2" t="s">
        <v>2428</v>
      </c>
      <c r="I731" s="2" t="s">
        <v>2429</v>
      </c>
      <c r="J731" s="2" t="s">
        <v>113</v>
      </c>
      <c r="K731" s="2" t="s">
        <v>551</v>
      </c>
      <c r="L731" s="3">
        <v>17.2</v>
      </c>
      <c r="M731" s="3">
        <v>18.06</v>
      </c>
      <c r="N731" s="3">
        <v>39.99</v>
      </c>
      <c r="O731" s="2" t="s">
        <v>95</v>
      </c>
      <c r="P731" s="2" t="s">
        <v>150</v>
      </c>
      <c r="Q731" s="2" t="s">
        <v>97</v>
      </c>
      <c r="R731" s="2" t="s">
        <v>98</v>
      </c>
      <c r="S731" s="2" t="s">
        <v>2430</v>
      </c>
      <c r="T731" s="2" t="s">
        <v>98</v>
      </c>
      <c r="U731" s="2" t="s">
        <v>98</v>
      </c>
      <c r="V731" s="2" t="s">
        <v>762</v>
      </c>
      <c r="W731" s="2" t="s">
        <v>567</v>
      </c>
      <c r="X731" s="2" t="s">
        <v>103</v>
      </c>
      <c r="Y731" s="2" t="s">
        <v>2431</v>
      </c>
      <c r="Z731" s="4">
        <v>368</v>
      </c>
      <c r="AA731" s="4">
        <f>=ROUNDDOWN(52.5714285714286,0)</f>
      </c>
      <c r="AB731" s="5">
        <v>7</v>
      </c>
      <c r="AC731" s="2" t="s">
        <v>98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4</v>
      </c>
      <c r="AQ731" s="8">
        <v>78.4</v>
      </c>
      <c r="AR731" s="4">
        <v>36</v>
      </c>
      <c r="AS731" s="8">
        <v>562.32</v>
      </c>
      <c r="AT731" s="7">
        <v>-0.8889</v>
      </c>
      <c r="AU731" s="7">
        <v>-0.8606</v>
      </c>
      <c r="AV731" s="4" t="s">
        <v>98</v>
      </c>
      <c r="AW731" s="8" t="s">
        <v>98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>
        <v>0.25</v>
      </c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 t="s">
        <v>98</v>
      </c>
      <c r="BJ731" s="4">
        <v>143</v>
      </c>
      <c r="BK731" s="8">
        <v>2523.31</v>
      </c>
      <c r="BL731" s="2" t="s">
        <v>2384</v>
      </c>
      <c r="BM731" s="7">
        <v>0.028</v>
      </c>
      <c r="BN731" s="7">
        <v>0.0311</v>
      </c>
      <c r="BO731" s="4">
        <v>4</v>
      </c>
      <c r="BP731" s="8">
        <v>78.4</v>
      </c>
      <c r="BQ731" s="4">
        <v>36</v>
      </c>
      <c r="BR731" s="8">
        <v>562.32</v>
      </c>
      <c r="BS731" s="7">
        <v>-0.8889</v>
      </c>
      <c r="BT731" s="7">
        <v>-0.8606</v>
      </c>
      <c r="BU731" s="2" t="s">
        <v>107</v>
      </c>
      <c r="BV731" s="2" t="s">
        <v>108</v>
      </c>
      <c r="BW731" s="2" t="s">
        <v>2115</v>
      </c>
      <c r="BX731" s="2" t="s">
        <v>2261</v>
      </c>
      <c r="BY731" s="2" t="s">
        <v>111</v>
      </c>
    </row>
    <row r="732">
      <c r="A732" s="2" t="s">
        <v>2435</v>
      </c>
      <c r="B732" s="2" t="s">
        <v>86</v>
      </c>
      <c r="C732" s="2" t="s">
        <v>2106</v>
      </c>
      <c r="D732" s="2" t="s">
        <v>88</v>
      </c>
      <c r="E732" s="2" t="s">
        <v>88</v>
      </c>
      <c r="F732" s="2" t="s">
        <v>2426</v>
      </c>
      <c r="G732" s="2" t="s">
        <v>2427</v>
      </c>
      <c r="H732" s="2" t="s">
        <v>2428</v>
      </c>
      <c r="I732" s="2" t="s">
        <v>2429</v>
      </c>
      <c r="J732" s="2" t="s">
        <v>93</v>
      </c>
      <c r="K732" s="2" t="s">
        <v>455</v>
      </c>
      <c r="L732" s="3">
        <v>15.05</v>
      </c>
      <c r="M732" s="3">
        <v>15.8</v>
      </c>
      <c r="N732" s="3">
        <v>34.99</v>
      </c>
      <c r="O732" s="2" t="s">
        <v>95</v>
      </c>
      <c r="P732" s="2" t="s">
        <v>215</v>
      </c>
      <c r="Q732" s="2" t="s">
        <v>97</v>
      </c>
      <c r="R732" s="2" t="s">
        <v>98</v>
      </c>
      <c r="S732" s="2" t="s">
        <v>2436</v>
      </c>
      <c r="T732" s="2" t="s">
        <v>98</v>
      </c>
      <c r="U732" s="2" t="s">
        <v>100</v>
      </c>
      <c r="V732" s="2" t="s">
        <v>762</v>
      </c>
      <c r="W732" s="2" t="s">
        <v>567</v>
      </c>
      <c r="X732" s="2" t="s">
        <v>98</v>
      </c>
      <c r="Y732" s="2" t="s">
        <v>1435</v>
      </c>
      <c r="Z732" s="4">
        <v>498</v>
      </c>
      <c r="AA732" s="4">
        <f>=ROUNDDOWN(76.6153846153846,0)</f>
      </c>
      <c r="AB732" s="5">
        <v>6.5</v>
      </c>
      <c r="AC732" s="2" t="s">
        <v>98</v>
      </c>
      <c r="AD732" s="4"/>
      <c r="AE732" s="4"/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11</v>
      </c>
      <c r="AQ732" s="8">
        <v>173.8</v>
      </c>
      <c r="AR732" s="4"/>
      <c r="AS732" s="8"/>
      <c r="AT732" s="7"/>
      <c r="AU732" s="7"/>
      <c r="AV732" s="4">
        <v>15</v>
      </c>
      <c r="AW732" s="8">
        <v>246.04</v>
      </c>
      <c r="AX732" s="4" t="s">
        <v>98</v>
      </c>
      <c r="AY732" s="8" t="s">
        <v>98</v>
      </c>
      <c r="AZ732" s="7" t="s">
        <v>98</v>
      </c>
      <c r="BA732" s="7" t="s">
        <v>98</v>
      </c>
      <c r="BB732" s="7">
        <v>0.7064</v>
      </c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>
        <v>0.4396</v>
      </c>
      <c r="BJ732" s="4">
        <v>170</v>
      </c>
      <c r="BK732" s="8">
        <v>2704.44</v>
      </c>
      <c r="BL732" s="2" t="s">
        <v>574</v>
      </c>
      <c r="BM732" s="7">
        <v>0.0647</v>
      </c>
      <c r="BN732" s="7">
        <v>0.0643</v>
      </c>
      <c r="BO732" s="4">
        <v>11</v>
      </c>
      <c r="BP732" s="8">
        <v>173.8</v>
      </c>
      <c r="BQ732" s="4"/>
      <c r="BR732" s="8"/>
      <c r="BS732" s="7"/>
      <c r="BT732" s="7"/>
      <c r="BU732" s="2" t="s">
        <v>107</v>
      </c>
      <c r="BV732" s="2" t="s">
        <v>108</v>
      </c>
      <c r="BW732" s="2" t="s">
        <v>2185</v>
      </c>
      <c r="BX732" s="2" t="s">
        <v>2236</v>
      </c>
      <c r="BY732" s="2" t="s">
        <v>111</v>
      </c>
    </row>
    <row r="733">
      <c r="A733" s="2" t="s">
        <v>2437</v>
      </c>
      <c r="B733" s="2" t="s">
        <v>86</v>
      </c>
      <c r="C733" s="2" t="s">
        <v>2106</v>
      </c>
      <c r="D733" s="2" t="s">
        <v>88</v>
      </c>
      <c r="E733" s="2" t="s">
        <v>88</v>
      </c>
      <c r="F733" s="2" t="s">
        <v>2426</v>
      </c>
      <c r="G733" s="2" t="s">
        <v>2427</v>
      </c>
      <c r="H733" s="2" t="s">
        <v>2428</v>
      </c>
      <c r="I733" s="2" t="s">
        <v>2429</v>
      </c>
      <c r="J733" s="2" t="s">
        <v>113</v>
      </c>
      <c r="K733" s="2" t="s">
        <v>455</v>
      </c>
      <c r="L733" s="3">
        <v>17.2</v>
      </c>
      <c r="M733" s="3">
        <v>18.06</v>
      </c>
      <c r="N733" s="3">
        <v>39.99</v>
      </c>
      <c r="O733" s="2" t="s">
        <v>95</v>
      </c>
      <c r="P733" s="2" t="s">
        <v>150</v>
      </c>
      <c r="Q733" s="2" t="s">
        <v>97</v>
      </c>
      <c r="R733" s="2" t="s">
        <v>98</v>
      </c>
      <c r="S733" s="2" t="s">
        <v>2436</v>
      </c>
      <c r="T733" s="2" t="s">
        <v>98</v>
      </c>
      <c r="U733" s="2" t="s">
        <v>100</v>
      </c>
      <c r="V733" s="2" t="s">
        <v>762</v>
      </c>
      <c r="W733" s="2" t="s">
        <v>567</v>
      </c>
      <c r="X733" s="2" t="s">
        <v>103</v>
      </c>
      <c r="Y733" s="2" t="s">
        <v>1435</v>
      </c>
      <c r="Z733" s="4">
        <v>291</v>
      </c>
      <c r="AA733" s="4">
        <f>=ROUNDDOWN(41.5714285714286,0)</f>
      </c>
      <c r="AB733" s="5">
        <v>7</v>
      </c>
      <c r="AC733" s="2" t="s">
        <v>98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4</v>
      </c>
      <c r="AQ733" s="8">
        <v>72.24</v>
      </c>
      <c r="AR733" s="4"/>
      <c r="AS733" s="8"/>
      <c r="AT733" s="7"/>
      <c r="AU733" s="7"/>
      <c r="AV733" s="4" t="s">
        <v>98</v>
      </c>
      <c r="AW733" s="8" t="s">
        <v>98</v>
      </c>
      <c r="AX733" s="4" t="s">
        <v>98</v>
      </c>
      <c r="AY733" s="8" t="s">
        <v>98</v>
      </c>
      <c r="AZ733" s="7" t="s">
        <v>98</v>
      </c>
      <c r="BA733" s="7" t="s">
        <v>98</v>
      </c>
      <c r="BB733" s="7">
        <v>0.2936</v>
      </c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 t="s">
        <v>98</v>
      </c>
      <c r="BJ733" s="4">
        <v>61</v>
      </c>
      <c r="BK733" s="8">
        <v>1140.96</v>
      </c>
      <c r="BL733" s="2" t="s">
        <v>2438</v>
      </c>
      <c r="BM733" s="7">
        <v>0.0656</v>
      </c>
      <c r="BN733" s="7">
        <v>0.0633</v>
      </c>
      <c r="BO733" s="4">
        <v>4</v>
      </c>
      <c r="BP733" s="8">
        <v>72.24</v>
      </c>
      <c r="BQ733" s="4"/>
      <c r="BR733" s="8"/>
      <c r="BS733" s="7"/>
      <c r="BT733" s="7"/>
      <c r="BU733" s="2" t="s">
        <v>107</v>
      </c>
      <c r="BV733" s="2" t="s">
        <v>108</v>
      </c>
      <c r="BW733" s="2" t="s">
        <v>2185</v>
      </c>
      <c r="BX733" s="2" t="s">
        <v>2299</v>
      </c>
      <c r="BY733" s="2" t="s">
        <v>111</v>
      </c>
    </row>
    <row r="734">
      <c r="A734" s="2" t="s">
        <v>2439</v>
      </c>
      <c r="B734" s="2" t="s">
        <v>86</v>
      </c>
      <c r="C734" s="2" t="s">
        <v>2106</v>
      </c>
      <c r="D734" s="2" t="s">
        <v>88</v>
      </c>
      <c r="E734" s="2" t="s">
        <v>88</v>
      </c>
      <c r="F734" s="2" t="s">
        <v>2440</v>
      </c>
      <c r="G734" s="2" t="s">
        <v>2441</v>
      </c>
      <c r="H734" s="2" t="s">
        <v>2442</v>
      </c>
      <c r="I734" s="2" t="s">
        <v>2443</v>
      </c>
      <c r="J734" s="2" t="s">
        <v>113</v>
      </c>
      <c r="K734" s="2" t="s">
        <v>199</v>
      </c>
      <c r="L734" s="3">
        <v>22.5</v>
      </c>
      <c r="M734" s="3">
        <v>23.62</v>
      </c>
      <c r="N734" s="3">
        <v>49.99</v>
      </c>
      <c r="O734" s="2" t="s">
        <v>368</v>
      </c>
      <c r="P734" s="2" t="s">
        <v>215</v>
      </c>
      <c r="Q734" s="2" t="s">
        <v>97</v>
      </c>
      <c r="R734" s="2" t="s">
        <v>98</v>
      </c>
      <c r="S734" s="2" t="s">
        <v>2444</v>
      </c>
      <c r="T734" s="2" t="s">
        <v>98</v>
      </c>
      <c r="U734" s="2" t="s">
        <v>100</v>
      </c>
      <c r="V734" s="2" t="s">
        <v>617</v>
      </c>
      <c r="W734" s="2" t="s">
        <v>335</v>
      </c>
      <c r="X734" s="2" t="s">
        <v>98</v>
      </c>
      <c r="Y734" s="2" t="s">
        <v>2445</v>
      </c>
      <c r="Z734" s="4"/>
      <c r="AA734" s="4">
        <f>=ROUNDDOWN({0},0)</f>
      </c>
      <c r="AB734" s="5"/>
      <c r="AC734" s="2" t="s">
        <v>98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21</v>
      </c>
      <c r="AQ734" s="8">
        <v>337.5</v>
      </c>
      <c r="AR734" s="4"/>
      <c r="AS734" s="8"/>
      <c r="AT734" s="7"/>
      <c r="AU734" s="7"/>
      <c r="AV734" s="4">
        <v>21</v>
      </c>
      <c r="AW734" s="8">
        <v>337.5</v>
      </c>
      <c r="AX734" s="4"/>
      <c r="AY734" s="8"/>
      <c r="AZ734" s="7"/>
      <c r="BA734" s="7"/>
      <c r="BB734" s="7">
        <v>1</v>
      </c>
      <c r="BC734" s="4">
        <v>35</v>
      </c>
      <c r="BD734" s="8">
        <v>540</v>
      </c>
      <c r="BE734" s="4">
        <v>124</v>
      </c>
      <c r="BF734" s="8">
        <v>2453.34</v>
      </c>
      <c r="BG734" s="7">
        <v>-0.7177</v>
      </c>
      <c r="BH734" s="7">
        <v>-0.7799</v>
      </c>
      <c r="BI734" s="7">
        <v>0.625</v>
      </c>
      <c r="BJ734" s="4">
        <v>38</v>
      </c>
      <c r="BK734" s="8">
        <v>649.7</v>
      </c>
      <c r="BL734" s="2" t="s">
        <v>673</v>
      </c>
      <c r="BM734" s="7">
        <v>0.5526</v>
      </c>
      <c r="BN734" s="7">
        <v>0.5195</v>
      </c>
      <c r="BO734" s="4">
        <v>21</v>
      </c>
      <c r="BP734" s="8">
        <v>337.5</v>
      </c>
      <c r="BQ734" s="4"/>
      <c r="BR734" s="8"/>
      <c r="BS734" s="7"/>
      <c r="BT734" s="7"/>
      <c r="BU734" s="2" t="s">
        <v>211</v>
      </c>
      <c r="BV734" s="2" t="s">
        <v>352</v>
      </c>
      <c r="BW734" s="2" t="s">
        <v>570</v>
      </c>
      <c r="BX734" s="2" t="s">
        <v>2446</v>
      </c>
      <c r="BY734" s="2" t="s">
        <v>354</v>
      </c>
    </row>
    <row r="735">
      <c r="A735" s="2" t="s">
        <v>2447</v>
      </c>
      <c r="B735" s="2" t="s">
        <v>86</v>
      </c>
      <c r="C735" s="2" t="s">
        <v>2106</v>
      </c>
      <c r="D735" s="2" t="s">
        <v>88</v>
      </c>
      <c r="E735" s="2" t="s">
        <v>88</v>
      </c>
      <c r="F735" s="2" t="s">
        <v>2440</v>
      </c>
      <c r="G735" s="2" t="s">
        <v>2441</v>
      </c>
      <c r="H735" s="2" t="s">
        <v>2442</v>
      </c>
      <c r="I735" s="2" t="s">
        <v>2443</v>
      </c>
      <c r="J735" s="2" t="s">
        <v>93</v>
      </c>
      <c r="K735" s="2" t="s">
        <v>247</v>
      </c>
      <c r="L735" s="3">
        <v>19.8</v>
      </c>
      <c r="M735" s="3">
        <v>20.79</v>
      </c>
      <c r="N735" s="3">
        <v>44.99</v>
      </c>
      <c r="O735" s="2" t="s">
        <v>368</v>
      </c>
      <c r="P735" s="2" t="s">
        <v>215</v>
      </c>
      <c r="Q735" s="2" t="s">
        <v>97</v>
      </c>
      <c r="R735" s="2" t="s">
        <v>98</v>
      </c>
      <c r="S735" s="2" t="s">
        <v>2448</v>
      </c>
      <c r="T735" s="2" t="s">
        <v>98</v>
      </c>
      <c r="U735" s="2" t="s">
        <v>100</v>
      </c>
      <c r="V735" s="2" t="s">
        <v>617</v>
      </c>
      <c r="W735" s="2" t="s">
        <v>335</v>
      </c>
      <c r="X735" s="2" t="s">
        <v>98</v>
      </c>
      <c r="Y735" s="2" t="s">
        <v>2445</v>
      </c>
      <c r="Z735" s="4"/>
      <c r="AA735" s="4">
        <f>=ROUNDDOWN({0},0)</f>
      </c>
      <c r="AB735" s="5">
        <v>0.5</v>
      </c>
      <c r="AC735" s="2" t="s">
        <v>98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14</v>
      </c>
      <c r="AQ735" s="8">
        <v>202.5</v>
      </c>
      <c r="AR735" s="4">
        <v>22</v>
      </c>
      <c r="AS735" s="8">
        <v>396</v>
      </c>
      <c r="AT735" s="7">
        <v>-0.3636</v>
      </c>
      <c r="AU735" s="7">
        <v>-0.4886</v>
      </c>
      <c r="AV735" s="4">
        <v>14</v>
      </c>
      <c r="AW735" s="8">
        <v>202.5</v>
      </c>
      <c r="AX735" s="4">
        <v>24</v>
      </c>
      <c r="AY735" s="8">
        <v>437.14</v>
      </c>
      <c r="AZ735" s="7">
        <v>-0.4167</v>
      </c>
      <c r="BA735" s="7">
        <v>-0.5368</v>
      </c>
      <c r="BB735" s="7">
        <v>1</v>
      </c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>
        <v>0.375</v>
      </c>
      <c r="BJ735" s="4">
        <v>48</v>
      </c>
      <c r="BK735" s="8">
        <v>783.02</v>
      </c>
      <c r="BL735" s="2" t="s">
        <v>2449</v>
      </c>
      <c r="BM735" s="7">
        <v>0.2917</v>
      </c>
      <c r="BN735" s="7">
        <v>0.2586</v>
      </c>
      <c r="BO735" s="4">
        <v>14</v>
      </c>
      <c r="BP735" s="8">
        <v>202.5</v>
      </c>
      <c r="BQ735" s="4">
        <v>22</v>
      </c>
      <c r="BR735" s="8">
        <v>396</v>
      </c>
      <c r="BS735" s="7">
        <v>-0.3636</v>
      </c>
      <c r="BT735" s="7">
        <v>-0.4886</v>
      </c>
      <c r="BU735" s="2" t="s">
        <v>211</v>
      </c>
      <c r="BV735" s="2" t="s">
        <v>352</v>
      </c>
      <c r="BW735" s="2" t="s">
        <v>570</v>
      </c>
      <c r="BX735" s="2" t="s">
        <v>712</v>
      </c>
      <c r="BY735" s="2" t="s">
        <v>354</v>
      </c>
    </row>
    <row r="736">
      <c r="A736" s="2" t="s">
        <v>2450</v>
      </c>
      <c r="B736" s="2" t="s">
        <v>86</v>
      </c>
      <c r="C736" s="2" t="s">
        <v>2106</v>
      </c>
      <c r="D736" s="2" t="s">
        <v>88</v>
      </c>
      <c r="E736" s="2" t="s">
        <v>88</v>
      </c>
      <c r="F736" s="2" t="s">
        <v>2440</v>
      </c>
      <c r="G736" s="2" t="s">
        <v>2441</v>
      </c>
      <c r="H736" s="2" t="s">
        <v>2442</v>
      </c>
      <c r="I736" s="2" t="s">
        <v>2443</v>
      </c>
      <c r="J736" s="2" t="s">
        <v>113</v>
      </c>
      <c r="K736" s="2" t="s">
        <v>247</v>
      </c>
      <c r="L736" s="3">
        <v>22.5</v>
      </c>
      <c r="M736" s="3">
        <v>23.62</v>
      </c>
      <c r="N736" s="3">
        <v>49.99</v>
      </c>
      <c r="O736" s="2" t="s">
        <v>241</v>
      </c>
      <c r="P736" s="2" t="s">
        <v>215</v>
      </c>
      <c r="Q736" s="2" t="s">
        <v>97</v>
      </c>
      <c r="R736" s="2" t="s">
        <v>98</v>
      </c>
      <c r="S736" s="2" t="s">
        <v>2448</v>
      </c>
      <c r="T736" s="2" t="s">
        <v>98</v>
      </c>
      <c r="U736" s="2" t="s">
        <v>100</v>
      </c>
      <c r="V736" s="2" t="s">
        <v>617</v>
      </c>
      <c r="W736" s="2" t="s">
        <v>335</v>
      </c>
      <c r="X736" s="2" t="s">
        <v>98</v>
      </c>
      <c r="Y736" s="2" t="s">
        <v>2445</v>
      </c>
      <c r="Z736" s="4"/>
      <c r="AA736" s="4">
        <f>=ROUNDDOWN({0},0)</f>
      </c>
      <c r="AB736" s="5"/>
      <c r="AC736" s="2" t="s">
        <v>98</v>
      </c>
      <c r="AD736" s="4"/>
      <c r="AE736" s="4"/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>
        <v>2</v>
      </c>
      <c r="AS736" s="8">
        <v>41.14</v>
      </c>
      <c r="AT736" s="7">
        <v>-1</v>
      </c>
      <c r="AU736" s="7">
        <v>-1</v>
      </c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 t="s">
        <v>98</v>
      </c>
      <c r="BJ736" s="4"/>
      <c r="BK736" s="8"/>
      <c r="BL736" s="2" t="s">
        <v>1959</v>
      </c>
      <c r="BM736" s="7"/>
      <c r="BN736" s="7"/>
      <c r="BO736" s="4"/>
      <c r="BP736" s="8"/>
      <c r="BQ736" s="4">
        <v>2</v>
      </c>
      <c r="BR736" s="8">
        <v>41.14</v>
      </c>
      <c r="BS736" s="7">
        <v>-1</v>
      </c>
      <c r="BT736" s="7">
        <v>-1</v>
      </c>
      <c r="BU736" s="2" t="s">
        <v>211</v>
      </c>
      <c r="BV736" s="2" t="s">
        <v>352</v>
      </c>
      <c r="BW736" s="2" t="s">
        <v>570</v>
      </c>
      <c r="BX736" s="2" t="s">
        <v>586</v>
      </c>
      <c r="BY736" s="2" t="s">
        <v>111</v>
      </c>
    </row>
    <row r="737">
      <c r="A737" s="2" t="s">
        <v>2451</v>
      </c>
      <c r="B737" s="2" t="s">
        <v>86</v>
      </c>
      <c r="C737" s="2" t="s">
        <v>2106</v>
      </c>
      <c r="D737" s="2" t="s">
        <v>88</v>
      </c>
      <c r="E737" s="2" t="s">
        <v>88</v>
      </c>
      <c r="F737" s="2" t="s">
        <v>2440</v>
      </c>
      <c r="G737" s="2" t="s">
        <v>2441</v>
      </c>
      <c r="H737" s="2" t="s">
        <v>2442</v>
      </c>
      <c r="I737" s="2" t="s">
        <v>2443</v>
      </c>
      <c r="J737" s="2" t="s">
        <v>93</v>
      </c>
      <c r="K737" s="2" t="s">
        <v>464</v>
      </c>
      <c r="L737" s="3">
        <v>19.8</v>
      </c>
      <c r="M737" s="3">
        <v>20.79</v>
      </c>
      <c r="N737" s="3">
        <v>44.99</v>
      </c>
      <c r="O737" s="2" t="s">
        <v>368</v>
      </c>
      <c r="P737" s="2" t="s">
        <v>215</v>
      </c>
      <c r="Q737" s="2" t="s">
        <v>97</v>
      </c>
      <c r="R737" s="2" t="s">
        <v>98</v>
      </c>
      <c r="S737" s="2" t="s">
        <v>2452</v>
      </c>
      <c r="T737" s="2" t="s">
        <v>98</v>
      </c>
      <c r="U737" s="2" t="s">
        <v>100</v>
      </c>
      <c r="V737" s="2" t="s">
        <v>617</v>
      </c>
      <c r="W737" s="2" t="s">
        <v>335</v>
      </c>
      <c r="X737" s="2" t="s">
        <v>98</v>
      </c>
      <c r="Y737" s="2" t="s">
        <v>2445</v>
      </c>
      <c r="Z737" s="4"/>
      <c r="AA737" s="4">
        <f>=ROUNDDOWN({0},0)</f>
      </c>
      <c r="AB737" s="5"/>
      <c r="AC737" s="2" t="s">
        <v>98</v>
      </c>
      <c r="AD737" s="4"/>
      <c r="AE737" s="4"/>
      <c r="AF737" s="6">
        <v>65</v>
      </c>
      <c r="AG737" s="6"/>
      <c r="AH737" s="7">
        <v>0.5889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>
        <v>35</v>
      </c>
      <c r="AS737" s="8">
        <v>630</v>
      </c>
      <c r="AT737" s="7">
        <v>-1</v>
      </c>
      <c r="AU737" s="7">
        <v>-1</v>
      </c>
      <c r="AV737" s="4" t="s">
        <v>98</v>
      </c>
      <c r="AW737" s="8" t="s">
        <v>98</v>
      </c>
      <c r="AX737" s="4">
        <v>55</v>
      </c>
      <c r="AY737" s="8">
        <v>1041.4</v>
      </c>
      <c r="AZ737" s="7" t="s">
        <v>98</v>
      </c>
      <c r="BA737" s="7" t="s">
        <v>98</v>
      </c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 t="s">
        <v>98</v>
      </c>
      <c r="BJ737" s="4"/>
      <c r="BK737" s="8"/>
      <c r="BL737" s="2" t="s">
        <v>785</v>
      </c>
      <c r="BM737" s="7"/>
      <c r="BN737" s="7"/>
      <c r="BO737" s="4"/>
      <c r="BP737" s="8"/>
      <c r="BQ737" s="4">
        <v>35</v>
      </c>
      <c r="BR737" s="8">
        <v>630</v>
      </c>
      <c r="BS737" s="7">
        <v>-1</v>
      </c>
      <c r="BT737" s="7">
        <v>-1</v>
      </c>
      <c r="BU737" s="2" t="s">
        <v>211</v>
      </c>
      <c r="BV737" s="2" t="s">
        <v>352</v>
      </c>
      <c r="BW737" s="2" t="s">
        <v>570</v>
      </c>
      <c r="BX737" s="2" t="s">
        <v>1297</v>
      </c>
      <c r="BY737" s="2" t="s">
        <v>354</v>
      </c>
    </row>
    <row r="738">
      <c r="A738" s="2" t="s">
        <v>2453</v>
      </c>
      <c r="B738" s="2" t="s">
        <v>86</v>
      </c>
      <c r="C738" s="2" t="s">
        <v>2106</v>
      </c>
      <c r="D738" s="2" t="s">
        <v>88</v>
      </c>
      <c r="E738" s="2" t="s">
        <v>88</v>
      </c>
      <c r="F738" s="2" t="s">
        <v>2440</v>
      </c>
      <c r="G738" s="2" t="s">
        <v>2441</v>
      </c>
      <c r="H738" s="2" t="s">
        <v>2442</v>
      </c>
      <c r="I738" s="2" t="s">
        <v>2443</v>
      </c>
      <c r="J738" s="2" t="s">
        <v>113</v>
      </c>
      <c r="K738" s="2" t="s">
        <v>464</v>
      </c>
      <c r="L738" s="3">
        <v>22.5</v>
      </c>
      <c r="M738" s="3">
        <v>23.62</v>
      </c>
      <c r="N738" s="3">
        <v>49.99</v>
      </c>
      <c r="O738" s="2" t="s">
        <v>368</v>
      </c>
      <c r="P738" s="2" t="s">
        <v>215</v>
      </c>
      <c r="Q738" s="2" t="s">
        <v>97</v>
      </c>
      <c r="R738" s="2" t="s">
        <v>98</v>
      </c>
      <c r="S738" s="2" t="s">
        <v>2452</v>
      </c>
      <c r="T738" s="2" t="s">
        <v>98</v>
      </c>
      <c r="U738" s="2" t="s">
        <v>100</v>
      </c>
      <c r="V738" s="2" t="s">
        <v>617</v>
      </c>
      <c r="W738" s="2" t="s">
        <v>335</v>
      </c>
      <c r="X738" s="2" t="s">
        <v>98</v>
      </c>
      <c r="Y738" s="2" t="s">
        <v>2445</v>
      </c>
      <c r="Z738" s="4"/>
      <c r="AA738" s="4">
        <f>=ROUNDDOWN({0},0)</f>
      </c>
      <c r="AB738" s="5">
        <v>0.2</v>
      </c>
      <c r="AC738" s="2" t="s">
        <v>98</v>
      </c>
      <c r="AD738" s="4"/>
      <c r="AE738" s="4"/>
      <c r="AF738" s="6">
        <v>65</v>
      </c>
      <c r="AG738" s="6"/>
      <c r="AH738" s="7">
        <v>0.4222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>
        <v>20</v>
      </c>
      <c r="AS738" s="8">
        <v>411.4</v>
      </c>
      <c r="AT738" s="7">
        <v>-1</v>
      </c>
      <c r="AU738" s="7">
        <v>-1</v>
      </c>
      <c r="AV738" s="4" t="s">
        <v>98</v>
      </c>
      <c r="AW738" s="8" t="s">
        <v>98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 t="s">
        <v>98</v>
      </c>
      <c r="BJ738" s="4">
        <v>1</v>
      </c>
      <c r="BK738" s="8">
        <v>16.54</v>
      </c>
      <c r="BL738" s="2" t="s">
        <v>2454</v>
      </c>
      <c r="BM738" s="7"/>
      <c r="BN738" s="7"/>
      <c r="BO738" s="4"/>
      <c r="BP738" s="8"/>
      <c r="BQ738" s="4">
        <v>20</v>
      </c>
      <c r="BR738" s="8">
        <v>411.4</v>
      </c>
      <c r="BS738" s="7">
        <v>-1</v>
      </c>
      <c r="BT738" s="7">
        <v>-1</v>
      </c>
      <c r="BU738" s="2" t="s">
        <v>211</v>
      </c>
      <c r="BV738" s="2" t="s">
        <v>352</v>
      </c>
      <c r="BW738" s="2" t="s">
        <v>570</v>
      </c>
      <c r="BX738" s="2" t="s">
        <v>579</v>
      </c>
      <c r="BY738" s="2" t="s">
        <v>354</v>
      </c>
    </row>
    <row r="739">
      <c r="A739" s="2" t="s">
        <v>2455</v>
      </c>
      <c r="B739" s="2" t="s">
        <v>86</v>
      </c>
      <c r="C739" s="2" t="s">
        <v>2106</v>
      </c>
      <c r="D739" s="2" t="s">
        <v>88</v>
      </c>
      <c r="E739" s="2" t="s">
        <v>88</v>
      </c>
      <c r="F739" s="2" t="s">
        <v>2440</v>
      </c>
      <c r="G739" s="2" t="s">
        <v>2441</v>
      </c>
      <c r="H739" s="2" t="s">
        <v>2442</v>
      </c>
      <c r="I739" s="2" t="s">
        <v>2443</v>
      </c>
      <c r="J739" s="2" t="s">
        <v>93</v>
      </c>
      <c r="K739" s="2" t="s">
        <v>137</v>
      </c>
      <c r="L739" s="3">
        <v>19.8</v>
      </c>
      <c r="M739" s="3">
        <v>20.79</v>
      </c>
      <c r="N739" s="3">
        <v>44.99</v>
      </c>
      <c r="O739" s="2" t="s">
        <v>368</v>
      </c>
      <c r="P739" s="2" t="s">
        <v>215</v>
      </c>
      <c r="Q739" s="2" t="s">
        <v>97</v>
      </c>
      <c r="R739" s="2" t="s">
        <v>98</v>
      </c>
      <c r="S739" s="2" t="s">
        <v>2456</v>
      </c>
      <c r="T739" s="2" t="s">
        <v>98</v>
      </c>
      <c r="U739" s="2" t="s">
        <v>100</v>
      </c>
      <c r="V739" s="2" t="s">
        <v>617</v>
      </c>
      <c r="W739" s="2" t="s">
        <v>335</v>
      </c>
      <c r="X739" s="2" t="s">
        <v>98</v>
      </c>
      <c r="Y739" s="2" t="s">
        <v>2445</v>
      </c>
      <c r="Z739" s="4"/>
      <c r="AA739" s="4">
        <f>=ROUNDDOWN({0},0)</f>
      </c>
      <c r="AB739" s="5"/>
      <c r="AC739" s="2" t="s">
        <v>98</v>
      </c>
      <c r="AD739" s="4"/>
      <c r="AE739" s="4"/>
      <c r="AF739" s="6"/>
      <c r="AG739" s="6"/>
      <c r="AH739" s="7">
        <v>0.3667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13</v>
      </c>
      <c r="AS739" s="8">
        <v>234</v>
      </c>
      <c r="AT739" s="7">
        <v>-1</v>
      </c>
      <c r="AU739" s="7">
        <v>-1</v>
      </c>
      <c r="AV739" s="4" t="s">
        <v>98</v>
      </c>
      <c r="AW739" s="8" t="s">
        <v>98</v>
      </c>
      <c r="AX739" s="4">
        <v>45</v>
      </c>
      <c r="AY739" s="8">
        <v>974.8</v>
      </c>
      <c r="AZ739" s="7" t="s">
        <v>98</v>
      </c>
      <c r="BA739" s="7" t="s">
        <v>98</v>
      </c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 t="s">
        <v>98</v>
      </c>
      <c r="BJ739" s="4"/>
      <c r="BK739" s="8"/>
      <c r="BL739" s="2" t="s">
        <v>2457</v>
      </c>
      <c r="BM739" s="7"/>
      <c r="BN739" s="7"/>
      <c r="BO739" s="4"/>
      <c r="BP739" s="8"/>
      <c r="BQ739" s="4">
        <v>13</v>
      </c>
      <c r="BR739" s="8">
        <v>234</v>
      </c>
      <c r="BS739" s="7">
        <v>-1</v>
      </c>
      <c r="BT739" s="7">
        <v>-1</v>
      </c>
      <c r="BU739" s="2" t="s">
        <v>211</v>
      </c>
      <c r="BV739" s="2" t="s">
        <v>352</v>
      </c>
      <c r="BW739" s="2" t="s">
        <v>570</v>
      </c>
      <c r="BX739" s="2" t="s">
        <v>791</v>
      </c>
      <c r="BY739" s="2" t="s">
        <v>111</v>
      </c>
    </row>
    <row r="740">
      <c r="A740" s="2" t="s">
        <v>2458</v>
      </c>
      <c r="B740" s="2" t="s">
        <v>86</v>
      </c>
      <c r="C740" s="2" t="s">
        <v>2106</v>
      </c>
      <c r="D740" s="2" t="s">
        <v>88</v>
      </c>
      <c r="E740" s="2" t="s">
        <v>88</v>
      </c>
      <c r="F740" s="2" t="s">
        <v>2440</v>
      </c>
      <c r="G740" s="2" t="s">
        <v>2441</v>
      </c>
      <c r="H740" s="2" t="s">
        <v>2442</v>
      </c>
      <c r="I740" s="2" t="s">
        <v>2443</v>
      </c>
      <c r="J740" s="2" t="s">
        <v>118</v>
      </c>
      <c r="K740" s="2" t="s">
        <v>137</v>
      </c>
      <c r="L740" s="3">
        <v>25.2</v>
      </c>
      <c r="M740" s="3">
        <v>26.46</v>
      </c>
      <c r="N740" s="3">
        <v>59.99</v>
      </c>
      <c r="O740" s="2" t="s">
        <v>368</v>
      </c>
      <c r="P740" s="2" t="s">
        <v>215</v>
      </c>
      <c r="Q740" s="2" t="s">
        <v>97</v>
      </c>
      <c r="R740" s="2" t="s">
        <v>98</v>
      </c>
      <c r="S740" s="2" t="s">
        <v>2456</v>
      </c>
      <c r="T740" s="2" t="s">
        <v>98</v>
      </c>
      <c r="U740" s="2" t="s">
        <v>100</v>
      </c>
      <c r="V740" s="2" t="s">
        <v>617</v>
      </c>
      <c r="W740" s="2" t="s">
        <v>335</v>
      </c>
      <c r="X740" s="2" t="s">
        <v>98</v>
      </c>
      <c r="Y740" s="2" t="s">
        <v>2445</v>
      </c>
      <c r="Z740" s="4"/>
      <c r="AA740" s="4">
        <f>=ROUNDDOWN({0},0)</f>
      </c>
      <c r="AB740" s="5"/>
      <c r="AC740" s="2" t="s">
        <v>98</v>
      </c>
      <c r="AD740" s="4"/>
      <c r="AE740" s="4"/>
      <c r="AF740" s="6">
        <v>65</v>
      </c>
      <c r="AG740" s="6"/>
      <c r="AH740" s="7">
        <v>0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>
        <v>32</v>
      </c>
      <c r="AS740" s="8">
        <v>740.8</v>
      </c>
      <c r="AT740" s="7">
        <v>-1</v>
      </c>
      <c r="AU740" s="7">
        <v>-1</v>
      </c>
      <c r="AV740" s="4" t="s">
        <v>98</v>
      </c>
      <c r="AW740" s="8" t="s">
        <v>98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/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 t="s">
        <v>98</v>
      </c>
      <c r="BJ740" s="4"/>
      <c r="BK740" s="8"/>
      <c r="BL740" s="2" t="s">
        <v>2459</v>
      </c>
      <c r="BM740" s="7"/>
      <c r="BN740" s="7"/>
      <c r="BO740" s="4"/>
      <c r="BP740" s="8"/>
      <c r="BQ740" s="4">
        <v>32</v>
      </c>
      <c r="BR740" s="8">
        <v>740.8</v>
      </c>
      <c r="BS740" s="7">
        <v>-1</v>
      </c>
      <c r="BT740" s="7">
        <v>-1</v>
      </c>
      <c r="BU740" s="2" t="s">
        <v>211</v>
      </c>
      <c r="BV740" s="2" t="s">
        <v>352</v>
      </c>
      <c r="BW740" s="2" t="s">
        <v>570</v>
      </c>
      <c r="BX740" s="2" t="s">
        <v>1719</v>
      </c>
      <c r="BY740" s="2" t="s">
        <v>111</v>
      </c>
    </row>
    <row r="741">
      <c r="A741" s="2" t="s">
        <v>2460</v>
      </c>
      <c r="B741" s="2" t="s">
        <v>86</v>
      </c>
      <c r="C741" s="2" t="s">
        <v>2106</v>
      </c>
      <c r="D741" s="2" t="s">
        <v>88</v>
      </c>
      <c r="E741" s="2" t="s">
        <v>88</v>
      </c>
      <c r="F741" s="2" t="s">
        <v>2461</v>
      </c>
      <c r="G741" s="2" t="s">
        <v>2462</v>
      </c>
      <c r="H741" s="2" t="s">
        <v>2463</v>
      </c>
      <c r="I741" s="2" t="s">
        <v>2464</v>
      </c>
      <c r="J741" s="2" t="s">
        <v>93</v>
      </c>
      <c r="K741" s="2" t="s">
        <v>2465</v>
      </c>
      <c r="L741" s="3">
        <v>16.8</v>
      </c>
      <c r="M741" s="3">
        <v>17.64</v>
      </c>
      <c r="N741" s="3">
        <v>39.99</v>
      </c>
      <c r="O741" s="2" t="s">
        <v>368</v>
      </c>
      <c r="P741" s="2" t="s">
        <v>215</v>
      </c>
      <c r="Q741" s="2" t="s">
        <v>97</v>
      </c>
      <c r="R741" s="2" t="s">
        <v>98</v>
      </c>
      <c r="S741" s="2" t="s">
        <v>2466</v>
      </c>
      <c r="T741" s="2" t="s">
        <v>1672</v>
      </c>
      <c r="U741" s="2" t="s">
        <v>100</v>
      </c>
      <c r="V741" s="2" t="s">
        <v>762</v>
      </c>
      <c r="W741" s="2" t="s">
        <v>102</v>
      </c>
      <c r="X741" s="2" t="s">
        <v>98</v>
      </c>
      <c r="Y741" s="2" t="s">
        <v>2467</v>
      </c>
      <c r="Z741" s="4"/>
      <c r="AA741" s="4">
        <f>=ROUNDDOWN({0},0)</f>
      </c>
      <c r="AB741" s="5"/>
      <c r="AC741" s="2" t="s">
        <v>98</v>
      </c>
      <c r="AD741" s="4"/>
      <c r="AE741" s="4"/>
      <c r="AF741" s="6">
        <v>65</v>
      </c>
      <c r="AG741" s="6"/>
      <c r="AH741" s="7">
        <v>0.9778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14</v>
      </c>
      <c r="AQ741" s="8">
        <v>173.32</v>
      </c>
      <c r="AR741" s="4"/>
      <c r="AS741" s="8"/>
      <c r="AT741" s="7"/>
      <c r="AU741" s="7"/>
      <c r="AV741" s="4">
        <v>14</v>
      </c>
      <c r="AW741" s="8">
        <v>173.32</v>
      </c>
      <c r="AX741" s="4"/>
      <c r="AY741" s="8"/>
      <c r="AZ741" s="7"/>
      <c r="BA741" s="7"/>
      <c r="BB741" s="7">
        <v>1</v>
      </c>
      <c r="BC741" s="4">
        <v>20</v>
      </c>
      <c r="BD741" s="8">
        <v>247.6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0.7</v>
      </c>
      <c r="BJ741" s="4">
        <v>72</v>
      </c>
      <c r="BK741" s="8">
        <v>1186.76</v>
      </c>
      <c r="BL741" s="2" t="s">
        <v>2468</v>
      </c>
      <c r="BM741" s="7">
        <v>0.1944</v>
      </c>
      <c r="BN741" s="7">
        <v>0.146</v>
      </c>
      <c r="BO741" s="4">
        <v>14</v>
      </c>
      <c r="BP741" s="8">
        <v>173.32</v>
      </c>
      <c r="BQ741" s="4"/>
      <c r="BR741" s="8"/>
      <c r="BS741" s="7"/>
      <c r="BT741" s="7"/>
      <c r="BU741" s="2" t="s">
        <v>211</v>
      </c>
      <c r="BV741" s="2" t="s">
        <v>352</v>
      </c>
      <c r="BW741" s="2" t="s">
        <v>2185</v>
      </c>
      <c r="BX741" s="2" t="s">
        <v>2186</v>
      </c>
      <c r="BY741" s="2" t="s">
        <v>354</v>
      </c>
    </row>
    <row r="742">
      <c r="A742" s="2" t="s">
        <v>2469</v>
      </c>
      <c r="B742" s="2" t="s">
        <v>86</v>
      </c>
      <c r="C742" s="2" t="s">
        <v>2106</v>
      </c>
      <c r="D742" s="2" t="s">
        <v>88</v>
      </c>
      <c r="E742" s="2" t="s">
        <v>88</v>
      </c>
      <c r="F742" s="2" t="s">
        <v>2461</v>
      </c>
      <c r="G742" s="2" t="s">
        <v>2462</v>
      </c>
      <c r="H742" s="2" t="s">
        <v>2463</v>
      </c>
      <c r="I742" s="2" t="s">
        <v>2464</v>
      </c>
      <c r="J742" s="2" t="s">
        <v>93</v>
      </c>
      <c r="K742" s="2" t="s">
        <v>1414</v>
      </c>
      <c r="L742" s="3">
        <v>16.8</v>
      </c>
      <c r="M742" s="3">
        <v>17.64</v>
      </c>
      <c r="N742" s="3">
        <v>39.99</v>
      </c>
      <c r="O742" s="2" t="s">
        <v>241</v>
      </c>
      <c r="P742" s="2" t="s">
        <v>215</v>
      </c>
      <c r="Q742" s="2" t="s">
        <v>97</v>
      </c>
      <c r="R742" s="2" t="s">
        <v>98</v>
      </c>
      <c r="S742" s="2" t="s">
        <v>2470</v>
      </c>
      <c r="T742" s="2" t="s">
        <v>1672</v>
      </c>
      <c r="U742" s="2" t="s">
        <v>100</v>
      </c>
      <c r="V742" s="2" t="s">
        <v>762</v>
      </c>
      <c r="W742" s="2" t="s">
        <v>102</v>
      </c>
      <c r="X742" s="2" t="s">
        <v>98</v>
      </c>
      <c r="Y742" s="2" t="s">
        <v>2467</v>
      </c>
      <c r="Z742" s="4"/>
      <c r="AA742" s="4">
        <f>=ROUNDDOWN({0},0)</f>
      </c>
      <c r="AB742" s="5">
        <v>3.4</v>
      </c>
      <c r="AC742" s="2" t="s">
        <v>98</v>
      </c>
      <c r="AD742" s="4"/>
      <c r="AE742" s="4"/>
      <c r="AF742" s="6">
        <v>65</v>
      </c>
      <c r="AG742" s="6"/>
      <c r="AH742" s="7">
        <v>0.3444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6</v>
      </c>
      <c r="AQ742" s="8">
        <v>74.28</v>
      </c>
      <c r="AR742" s="4"/>
      <c r="AS742" s="8"/>
      <c r="AT742" s="7"/>
      <c r="AU742" s="7"/>
      <c r="AV742" s="4">
        <v>6</v>
      </c>
      <c r="AW742" s="8">
        <v>74.28</v>
      </c>
      <c r="AX742" s="4"/>
      <c r="AY742" s="8"/>
      <c r="AZ742" s="7"/>
      <c r="BA742" s="7"/>
      <c r="BB742" s="7">
        <v>1</v>
      </c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>
        <v>0.3</v>
      </c>
      <c r="BJ742" s="4">
        <v>15</v>
      </c>
      <c r="BK742" s="8">
        <v>233.36</v>
      </c>
      <c r="BL742" s="2" t="s">
        <v>2471</v>
      </c>
      <c r="BM742" s="7">
        <v>0.4</v>
      </c>
      <c r="BN742" s="7">
        <v>0.3183</v>
      </c>
      <c r="BO742" s="4">
        <v>6</v>
      </c>
      <c r="BP742" s="8">
        <v>74.28</v>
      </c>
      <c r="BQ742" s="4"/>
      <c r="BR742" s="8"/>
      <c r="BS742" s="7"/>
      <c r="BT742" s="7"/>
      <c r="BU742" s="2" t="s">
        <v>211</v>
      </c>
      <c r="BV742" s="2" t="s">
        <v>352</v>
      </c>
      <c r="BW742" s="2" t="s">
        <v>2185</v>
      </c>
      <c r="BX742" s="2" t="s">
        <v>2186</v>
      </c>
      <c r="BY742" s="2" t="s">
        <v>354</v>
      </c>
    </row>
    <row r="743">
      <c r="A743" s="2" t="s">
        <v>2472</v>
      </c>
      <c r="B743" s="2" t="s">
        <v>86</v>
      </c>
      <c r="C743" s="2" t="s">
        <v>2106</v>
      </c>
      <c r="D743" s="2" t="s">
        <v>88</v>
      </c>
      <c r="E743" s="2" t="s">
        <v>88</v>
      </c>
      <c r="F743" s="2" t="s">
        <v>2473</v>
      </c>
      <c r="G743" s="2" t="s">
        <v>2474</v>
      </c>
      <c r="H743" s="2" t="s">
        <v>2475</v>
      </c>
      <c r="I743" s="2" t="s">
        <v>2476</v>
      </c>
      <c r="J743" s="2" t="s">
        <v>113</v>
      </c>
      <c r="K743" s="2" t="s">
        <v>247</v>
      </c>
      <c r="L743" s="3">
        <v>24.75</v>
      </c>
      <c r="M743" s="3">
        <v>25.99</v>
      </c>
      <c r="N743" s="3">
        <v>54.99</v>
      </c>
      <c r="O743" s="2" t="s">
        <v>368</v>
      </c>
      <c r="P743" s="2" t="s">
        <v>215</v>
      </c>
      <c r="Q743" s="2" t="s">
        <v>97</v>
      </c>
      <c r="R743" s="2" t="s">
        <v>98</v>
      </c>
      <c r="S743" s="2" t="s">
        <v>2477</v>
      </c>
      <c r="T743" s="2" t="s">
        <v>98</v>
      </c>
      <c r="U743" s="2" t="s">
        <v>100</v>
      </c>
      <c r="V743" s="2" t="s">
        <v>482</v>
      </c>
      <c r="W743" s="2" t="s">
        <v>335</v>
      </c>
      <c r="X743" s="2" t="s">
        <v>98</v>
      </c>
      <c r="Y743" s="2" t="s">
        <v>2478</v>
      </c>
      <c r="Z743" s="4"/>
      <c r="AA743" s="4">
        <f>=ROUNDDOWN({0},0)</f>
      </c>
      <c r="AB743" s="5">
        <v>10.3</v>
      </c>
      <c r="AC743" s="2" t="s">
        <v>98</v>
      </c>
      <c r="AD743" s="4"/>
      <c r="AE743" s="4"/>
      <c r="AF743" s="6">
        <v>65</v>
      </c>
      <c r="AG743" s="6"/>
      <c r="AH743" s="7">
        <v>0.1889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6</v>
      </c>
      <c r="AQ743" s="8">
        <v>145.14</v>
      </c>
      <c r="AR743" s="4"/>
      <c r="AS743" s="8"/>
      <c r="AT743" s="7"/>
      <c r="AU743" s="7"/>
      <c r="AV743" s="4">
        <v>6</v>
      </c>
      <c r="AW743" s="8">
        <v>145.14</v>
      </c>
      <c r="AX743" s="4"/>
      <c r="AY743" s="8"/>
      <c r="AZ743" s="7"/>
      <c r="BA743" s="7"/>
      <c r="BB743" s="7">
        <v>1</v>
      </c>
      <c r="BC743" s="4">
        <v>6</v>
      </c>
      <c r="BD743" s="8">
        <v>145.14</v>
      </c>
      <c r="BE743" s="4">
        <v>62</v>
      </c>
      <c r="BF743" s="8">
        <v>1311.46</v>
      </c>
      <c r="BG743" s="7">
        <v>-0.9032</v>
      </c>
      <c r="BH743" s="7">
        <v>-0.8893</v>
      </c>
      <c r="BI743" s="7">
        <v>1</v>
      </c>
      <c r="BJ743" s="4">
        <v>22</v>
      </c>
      <c r="BK743" s="8">
        <v>400.79</v>
      </c>
      <c r="BL743" s="2" t="s">
        <v>2479</v>
      </c>
      <c r="BM743" s="7">
        <v>0.2727</v>
      </c>
      <c r="BN743" s="7">
        <v>0.3621</v>
      </c>
      <c r="BO743" s="4">
        <v>6</v>
      </c>
      <c r="BP743" s="8">
        <v>145.14</v>
      </c>
      <c r="BQ743" s="4"/>
      <c r="BR743" s="8"/>
      <c r="BS743" s="7"/>
      <c r="BT743" s="7"/>
      <c r="BU743" s="2" t="s">
        <v>211</v>
      </c>
      <c r="BV743" s="2" t="s">
        <v>352</v>
      </c>
      <c r="BW743" s="2" t="s">
        <v>2480</v>
      </c>
      <c r="BX743" s="2" t="s">
        <v>2481</v>
      </c>
      <c r="BY743" s="2" t="s">
        <v>354</v>
      </c>
    </row>
    <row r="744">
      <c r="A744" s="2" t="s">
        <v>2482</v>
      </c>
      <c r="B744" s="2" t="s">
        <v>86</v>
      </c>
      <c r="C744" s="2" t="s">
        <v>2106</v>
      </c>
      <c r="D744" s="2" t="s">
        <v>88</v>
      </c>
      <c r="E744" s="2" t="s">
        <v>88</v>
      </c>
      <c r="F744" s="2" t="s">
        <v>2473</v>
      </c>
      <c r="G744" s="2" t="s">
        <v>2474</v>
      </c>
      <c r="H744" s="2" t="s">
        <v>2475</v>
      </c>
      <c r="I744" s="2" t="s">
        <v>2476</v>
      </c>
      <c r="J744" s="2" t="s">
        <v>93</v>
      </c>
      <c r="K744" s="2" t="s">
        <v>2331</v>
      </c>
      <c r="L744" s="3">
        <v>22.5</v>
      </c>
      <c r="M744" s="3">
        <v>23.62</v>
      </c>
      <c r="N744" s="3">
        <v>49.99</v>
      </c>
      <c r="O744" s="2" t="s">
        <v>368</v>
      </c>
      <c r="P744" s="2" t="s">
        <v>215</v>
      </c>
      <c r="Q744" s="2" t="s">
        <v>97</v>
      </c>
      <c r="R744" s="2" t="s">
        <v>98</v>
      </c>
      <c r="S744" s="2" t="s">
        <v>2483</v>
      </c>
      <c r="T744" s="2" t="s">
        <v>98</v>
      </c>
      <c r="U744" s="2" t="s">
        <v>100</v>
      </c>
      <c r="V744" s="2" t="s">
        <v>482</v>
      </c>
      <c r="W744" s="2" t="s">
        <v>335</v>
      </c>
      <c r="X744" s="2" t="s">
        <v>102</v>
      </c>
      <c r="Y744" s="2" t="s">
        <v>2484</v>
      </c>
      <c r="Z744" s="4"/>
      <c r="AA744" s="4">
        <f>=ROUNDDOWN({0},0)</f>
      </c>
      <c r="AB744" s="5"/>
      <c r="AC744" s="2" t="s">
        <v>98</v>
      </c>
      <c r="AD744" s="4"/>
      <c r="AE744" s="4"/>
      <c r="AF744" s="6">
        <v>65</v>
      </c>
      <c r="AG744" s="6"/>
      <c r="AH744" s="7">
        <v>0.4222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>
        <v>17</v>
      </c>
      <c r="AS744" s="8">
        <v>349.69</v>
      </c>
      <c r="AT744" s="7">
        <v>-1</v>
      </c>
      <c r="AU744" s="7">
        <v>-1</v>
      </c>
      <c r="AV744" s="4" t="s">
        <v>98</v>
      </c>
      <c r="AW744" s="8" t="s">
        <v>98</v>
      </c>
      <c r="AX744" s="4">
        <v>26</v>
      </c>
      <c r="AY744" s="8">
        <v>558.04</v>
      </c>
      <c r="AZ744" s="7" t="s">
        <v>98</v>
      </c>
      <c r="BA744" s="7" t="s">
        <v>98</v>
      </c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 t="s">
        <v>98</v>
      </c>
      <c r="BJ744" s="4"/>
      <c r="BK744" s="8"/>
      <c r="BL744" s="2" t="s">
        <v>2485</v>
      </c>
      <c r="BM744" s="7"/>
      <c r="BN744" s="7"/>
      <c r="BO744" s="4"/>
      <c r="BP744" s="8"/>
      <c r="BQ744" s="4">
        <v>17</v>
      </c>
      <c r="BR744" s="8">
        <v>349.69</v>
      </c>
      <c r="BS744" s="7">
        <v>-1</v>
      </c>
      <c r="BT744" s="7">
        <v>-1</v>
      </c>
      <c r="BU744" s="2" t="s">
        <v>211</v>
      </c>
      <c r="BV744" s="2" t="s">
        <v>352</v>
      </c>
      <c r="BW744" s="2" t="s">
        <v>570</v>
      </c>
      <c r="BX744" s="2" t="s">
        <v>709</v>
      </c>
      <c r="BY744" s="2" t="s">
        <v>354</v>
      </c>
    </row>
    <row r="745">
      <c r="A745" s="2" t="s">
        <v>2486</v>
      </c>
      <c r="B745" s="2" t="s">
        <v>86</v>
      </c>
      <c r="C745" s="2" t="s">
        <v>2106</v>
      </c>
      <c r="D745" s="2" t="s">
        <v>88</v>
      </c>
      <c r="E745" s="2" t="s">
        <v>88</v>
      </c>
      <c r="F745" s="2" t="s">
        <v>2473</v>
      </c>
      <c r="G745" s="2" t="s">
        <v>2474</v>
      </c>
      <c r="H745" s="2" t="s">
        <v>2475</v>
      </c>
      <c r="I745" s="2" t="s">
        <v>2476</v>
      </c>
      <c r="J745" s="2" t="s">
        <v>113</v>
      </c>
      <c r="K745" s="2" t="s">
        <v>2331</v>
      </c>
      <c r="L745" s="3">
        <v>24.75</v>
      </c>
      <c r="M745" s="3">
        <v>25.99</v>
      </c>
      <c r="N745" s="3">
        <v>54.99</v>
      </c>
      <c r="O745" s="2" t="s">
        <v>368</v>
      </c>
      <c r="P745" s="2" t="s">
        <v>215</v>
      </c>
      <c r="Q745" s="2" t="s">
        <v>97</v>
      </c>
      <c r="R745" s="2" t="s">
        <v>98</v>
      </c>
      <c r="S745" s="2" t="s">
        <v>2483</v>
      </c>
      <c r="T745" s="2" t="s">
        <v>98</v>
      </c>
      <c r="U745" s="2" t="s">
        <v>100</v>
      </c>
      <c r="V745" s="2" t="s">
        <v>482</v>
      </c>
      <c r="W745" s="2" t="s">
        <v>335</v>
      </c>
      <c r="X745" s="2" t="s">
        <v>102</v>
      </c>
      <c r="Y745" s="2" t="s">
        <v>2484</v>
      </c>
      <c r="Z745" s="4"/>
      <c r="AA745" s="4">
        <f>=ROUNDDOWN({0},0)</f>
      </c>
      <c r="AB745" s="5"/>
      <c r="AC745" s="2" t="s">
        <v>98</v>
      </c>
      <c r="AD745" s="4"/>
      <c r="AE745" s="4"/>
      <c r="AF745" s="6">
        <v>65</v>
      </c>
      <c r="AG745" s="6"/>
      <c r="AH745" s="7">
        <v>0.4222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>
        <v>9</v>
      </c>
      <c r="AS745" s="8">
        <v>208.35</v>
      </c>
      <c r="AT745" s="7">
        <v>-1</v>
      </c>
      <c r="AU745" s="7">
        <v>-1</v>
      </c>
      <c r="AV745" s="4" t="s">
        <v>98</v>
      </c>
      <c r="AW745" s="8" t="s">
        <v>98</v>
      </c>
      <c r="AX745" s="4" t="s">
        <v>98</v>
      </c>
      <c r="AY745" s="8" t="s">
        <v>98</v>
      </c>
      <c r="AZ745" s="7" t="s">
        <v>98</v>
      </c>
      <c r="BA745" s="7" t="s">
        <v>98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 t="s">
        <v>98</v>
      </c>
      <c r="BJ745" s="4"/>
      <c r="BK745" s="8"/>
      <c r="BL745" s="2" t="s">
        <v>588</v>
      </c>
      <c r="BM745" s="7"/>
      <c r="BN745" s="7"/>
      <c r="BO745" s="4"/>
      <c r="BP745" s="8"/>
      <c r="BQ745" s="4">
        <v>9</v>
      </c>
      <c r="BR745" s="8">
        <v>208.35</v>
      </c>
      <c r="BS745" s="7">
        <v>-1</v>
      </c>
      <c r="BT745" s="7">
        <v>-1</v>
      </c>
      <c r="BU745" s="2" t="s">
        <v>211</v>
      </c>
      <c r="BV745" s="2" t="s">
        <v>352</v>
      </c>
      <c r="BW745" s="2" t="s">
        <v>570</v>
      </c>
      <c r="BX745" s="2" t="s">
        <v>2487</v>
      </c>
      <c r="BY745" s="2" t="s">
        <v>354</v>
      </c>
    </row>
    <row r="746">
      <c r="A746" s="2" t="s">
        <v>2488</v>
      </c>
      <c r="B746" s="2" t="s">
        <v>86</v>
      </c>
      <c r="C746" s="2" t="s">
        <v>2106</v>
      </c>
      <c r="D746" s="2" t="s">
        <v>88</v>
      </c>
      <c r="E746" s="2" t="s">
        <v>88</v>
      </c>
      <c r="F746" s="2" t="s">
        <v>2473</v>
      </c>
      <c r="G746" s="2" t="s">
        <v>2474</v>
      </c>
      <c r="H746" s="2" t="s">
        <v>2475</v>
      </c>
      <c r="I746" s="2" t="s">
        <v>2476</v>
      </c>
      <c r="J746" s="2" t="s">
        <v>93</v>
      </c>
      <c r="K746" s="2" t="s">
        <v>199</v>
      </c>
      <c r="L746" s="3">
        <v>22.5</v>
      </c>
      <c r="M746" s="3">
        <v>23.62</v>
      </c>
      <c r="N746" s="3">
        <v>49.99</v>
      </c>
      <c r="O746" s="2" t="s">
        <v>241</v>
      </c>
      <c r="P746" s="2" t="s">
        <v>215</v>
      </c>
      <c r="Q746" s="2" t="s">
        <v>97</v>
      </c>
      <c r="R746" s="2" t="s">
        <v>98</v>
      </c>
      <c r="S746" s="2" t="s">
        <v>2489</v>
      </c>
      <c r="T746" s="2" t="s">
        <v>98</v>
      </c>
      <c r="U746" s="2" t="s">
        <v>100</v>
      </c>
      <c r="V746" s="2" t="s">
        <v>482</v>
      </c>
      <c r="W746" s="2" t="s">
        <v>335</v>
      </c>
      <c r="X746" s="2" t="s">
        <v>102</v>
      </c>
      <c r="Y746" s="2" t="s">
        <v>2484</v>
      </c>
      <c r="Z746" s="4"/>
      <c r="AA746" s="4">
        <f>=ROUNDDOWN({0},0)</f>
      </c>
      <c r="AB746" s="5"/>
      <c r="AC746" s="2" t="s">
        <v>98</v>
      </c>
      <c r="AD746" s="4"/>
      <c r="AE746" s="4"/>
      <c r="AF746" s="6">
        <v>65</v>
      </c>
      <c r="AG746" s="6"/>
      <c r="AH746" s="7">
        <v>0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>
        <v>31</v>
      </c>
      <c r="AS746" s="8">
        <v>637.67</v>
      </c>
      <c r="AT746" s="7">
        <v>-1</v>
      </c>
      <c r="AU746" s="7">
        <v>-1</v>
      </c>
      <c r="AV746" s="4" t="s">
        <v>98</v>
      </c>
      <c r="AW746" s="8" t="s">
        <v>98</v>
      </c>
      <c r="AX746" s="4">
        <v>36</v>
      </c>
      <c r="AY746" s="8">
        <v>753.42</v>
      </c>
      <c r="AZ746" s="7" t="s">
        <v>98</v>
      </c>
      <c r="BA746" s="7" t="s">
        <v>98</v>
      </c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 t="s">
        <v>98</v>
      </c>
      <c r="BJ746" s="4"/>
      <c r="BK746" s="8"/>
      <c r="BL746" s="2" t="s">
        <v>2490</v>
      </c>
      <c r="BM746" s="7"/>
      <c r="BN746" s="7"/>
      <c r="BO746" s="4"/>
      <c r="BP746" s="8"/>
      <c r="BQ746" s="4">
        <v>31</v>
      </c>
      <c r="BR746" s="8">
        <v>637.67</v>
      </c>
      <c r="BS746" s="7">
        <v>-1</v>
      </c>
      <c r="BT746" s="7">
        <v>-1</v>
      </c>
      <c r="BU746" s="2" t="s">
        <v>211</v>
      </c>
      <c r="BV746" s="2" t="s">
        <v>352</v>
      </c>
      <c r="BW746" s="2" t="s">
        <v>570</v>
      </c>
      <c r="BX746" s="2" t="s">
        <v>2491</v>
      </c>
      <c r="BY746" s="2" t="s">
        <v>354</v>
      </c>
    </row>
    <row r="747">
      <c r="A747" s="2" t="s">
        <v>2492</v>
      </c>
      <c r="B747" s="2" t="s">
        <v>86</v>
      </c>
      <c r="C747" s="2" t="s">
        <v>2106</v>
      </c>
      <c r="D747" s="2" t="s">
        <v>88</v>
      </c>
      <c r="E747" s="2" t="s">
        <v>88</v>
      </c>
      <c r="F747" s="2" t="s">
        <v>2473</v>
      </c>
      <c r="G747" s="2" t="s">
        <v>2474</v>
      </c>
      <c r="H747" s="2" t="s">
        <v>2475</v>
      </c>
      <c r="I747" s="2" t="s">
        <v>2476</v>
      </c>
      <c r="J747" s="2" t="s">
        <v>113</v>
      </c>
      <c r="K747" s="2" t="s">
        <v>199</v>
      </c>
      <c r="L747" s="3">
        <v>24.75</v>
      </c>
      <c r="M747" s="3">
        <v>25.99</v>
      </c>
      <c r="N747" s="3">
        <v>54.99</v>
      </c>
      <c r="O747" s="2" t="s">
        <v>368</v>
      </c>
      <c r="P747" s="2" t="s">
        <v>215</v>
      </c>
      <c r="Q747" s="2" t="s">
        <v>97</v>
      </c>
      <c r="R747" s="2" t="s">
        <v>98</v>
      </c>
      <c r="S747" s="2" t="s">
        <v>2489</v>
      </c>
      <c r="T747" s="2" t="s">
        <v>98</v>
      </c>
      <c r="U747" s="2" t="s">
        <v>100</v>
      </c>
      <c r="V747" s="2" t="s">
        <v>482</v>
      </c>
      <c r="W747" s="2" t="s">
        <v>335</v>
      </c>
      <c r="X747" s="2" t="s">
        <v>102</v>
      </c>
      <c r="Y747" s="2" t="s">
        <v>2484</v>
      </c>
      <c r="Z747" s="4"/>
      <c r="AA747" s="4">
        <f>=ROUNDDOWN({0},0)</f>
      </c>
      <c r="AB747" s="5"/>
      <c r="AC747" s="2" t="s">
        <v>98</v>
      </c>
      <c r="AD747" s="4"/>
      <c r="AE747" s="4"/>
      <c r="AF747" s="6">
        <v>65</v>
      </c>
      <c r="AG747" s="6"/>
      <c r="AH747" s="7">
        <v>0.3667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>
        <v>5</v>
      </c>
      <c r="AS747" s="8">
        <v>115.75</v>
      </c>
      <c r="AT747" s="7">
        <v>-1</v>
      </c>
      <c r="AU747" s="7">
        <v>-1</v>
      </c>
      <c r="AV747" s="4" t="s">
        <v>98</v>
      </c>
      <c r="AW747" s="8" t="s">
        <v>98</v>
      </c>
      <c r="AX747" s="4" t="s">
        <v>98</v>
      </c>
      <c r="AY747" s="8" t="s">
        <v>98</v>
      </c>
      <c r="AZ747" s="7" t="s">
        <v>98</v>
      </c>
      <c r="BA747" s="7" t="s">
        <v>98</v>
      </c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 t="s">
        <v>98</v>
      </c>
      <c r="BJ747" s="4"/>
      <c r="BK747" s="8"/>
      <c r="BL747" s="2" t="s">
        <v>2493</v>
      </c>
      <c r="BM747" s="7"/>
      <c r="BN747" s="7"/>
      <c r="BO747" s="4"/>
      <c r="BP747" s="8"/>
      <c r="BQ747" s="4">
        <v>5</v>
      </c>
      <c r="BR747" s="8">
        <v>115.75</v>
      </c>
      <c r="BS747" s="7">
        <v>-1</v>
      </c>
      <c r="BT747" s="7">
        <v>-1</v>
      </c>
      <c r="BU747" s="2" t="s">
        <v>211</v>
      </c>
      <c r="BV747" s="2" t="s">
        <v>352</v>
      </c>
      <c r="BW747" s="2" t="s">
        <v>570</v>
      </c>
      <c r="BX747" s="2" t="s">
        <v>2494</v>
      </c>
      <c r="BY747" s="2" t="s">
        <v>111</v>
      </c>
    </row>
    <row r="748">
      <c r="A748" s="2" t="s">
        <v>2495</v>
      </c>
      <c r="B748" s="2" t="s">
        <v>86</v>
      </c>
      <c r="C748" s="2" t="s">
        <v>2106</v>
      </c>
      <c r="D748" s="2" t="s">
        <v>88</v>
      </c>
      <c r="E748" s="2" t="s">
        <v>88</v>
      </c>
      <c r="F748" s="2" t="s">
        <v>2496</v>
      </c>
      <c r="G748" s="2" t="s">
        <v>2497</v>
      </c>
      <c r="H748" s="2" t="s">
        <v>2498</v>
      </c>
      <c r="I748" s="2" t="s">
        <v>2499</v>
      </c>
      <c r="J748" s="2" t="s">
        <v>93</v>
      </c>
      <c r="K748" s="2" t="s">
        <v>94</v>
      </c>
      <c r="L748" s="3">
        <v>16.8</v>
      </c>
      <c r="M748" s="3">
        <v>17.64</v>
      </c>
      <c r="N748" s="3">
        <v>39.99</v>
      </c>
      <c r="O748" s="2" t="s">
        <v>368</v>
      </c>
      <c r="P748" s="2" t="s">
        <v>215</v>
      </c>
      <c r="Q748" s="2" t="s">
        <v>97</v>
      </c>
      <c r="R748" s="2" t="s">
        <v>98</v>
      </c>
      <c r="S748" s="2" t="s">
        <v>2500</v>
      </c>
      <c r="T748" s="2" t="s">
        <v>98</v>
      </c>
      <c r="U748" s="2" t="s">
        <v>100</v>
      </c>
      <c r="V748" s="2" t="s">
        <v>101</v>
      </c>
      <c r="W748" s="2" t="s">
        <v>102</v>
      </c>
      <c r="X748" s="2" t="s">
        <v>98</v>
      </c>
      <c r="Y748" s="2" t="s">
        <v>2467</v>
      </c>
      <c r="Z748" s="4">
        <v>4</v>
      </c>
      <c r="AA748" s="4">
        <f>=ROUNDDOWN(0.19047619047619,0)</f>
      </c>
      <c r="AB748" s="5">
        <v>21</v>
      </c>
      <c r="AC748" s="2" t="s">
        <v>98</v>
      </c>
      <c r="AD748" s="4"/>
      <c r="AE748" s="4"/>
      <c r="AF748" s="6">
        <v>65</v>
      </c>
      <c r="AG748" s="6"/>
      <c r="AH748" s="7">
        <v>0.9333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4</v>
      </c>
      <c r="AQ748" s="8">
        <v>53.92</v>
      </c>
      <c r="AR748" s="4"/>
      <c r="AS748" s="8"/>
      <c r="AT748" s="7"/>
      <c r="AU748" s="7"/>
      <c r="AV748" s="4">
        <v>4</v>
      </c>
      <c r="AW748" s="8">
        <v>53.92</v>
      </c>
      <c r="AX748" s="4"/>
      <c r="AY748" s="8"/>
      <c r="AZ748" s="7"/>
      <c r="BA748" s="7"/>
      <c r="BB748" s="7">
        <v>1</v>
      </c>
      <c r="BC748" s="4">
        <v>8</v>
      </c>
      <c r="BD748" s="8">
        <v>106.48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>
        <v>0.5064</v>
      </c>
      <c r="BJ748" s="4">
        <v>54</v>
      </c>
      <c r="BK748" s="8">
        <v>888.24</v>
      </c>
      <c r="BL748" s="2" t="s">
        <v>2501</v>
      </c>
      <c r="BM748" s="7">
        <v>0.0741</v>
      </c>
      <c r="BN748" s="7">
        <v>0.0607</v>
      </c>
      <c r="BO748" s="4">
        <v>4</v>
      </c>
      <c r="BP748" s="8">
        <v>53.92</v>
      </c>
      <c r="BQ748" s="4"/>
      <c r="BR748" s="8"/>
      <c r="BS748" s="7"/>
      <c r="BT748" s="7"/>
      <c r="BU748" s="2" t="s">
        <v>211</v>
      </c>
      <c r="BV748" s="2" t="s">
        <v>352</v>
      </c>
      <c r="BW748" s="2" t="s">
        <v>2185</v>
      </c>
      <c r="BX748" s="2" t="s">
        <v>2301</v>
      </c>
      <c r="BY748" s="2" t="s">
        <v>354</v>
      </c>
    </row>
    <row r="749">
      <c r="A749" s="2" t="s">
        <v>2502</v>
      </c>
      <c r="B749" s="2" t="s">
        <v>86</v>
      </c>
      <c r="C749" s="2" t="s">
        <v>2106</v>
      </c>
      <c r="D749" s="2" t="s">
        <v>88</v>
      </c>
      <c r="E749" s="2" t="s">
        <v>88</v>
      </c>
      <c r="F749" s="2" t="s">
        <v>2496</v>
      </c>
      <c r="G749" s="2" t="s">
        <v>2497</v>
      </c>
      <c r="H749" s="2" t="s">
        <v>2498</v>
      </c>
      <c r="I749" s="2" t="s">
        <v>2499</v>
      </c>
      <c r="J749" s="2" t="s">
        <v>93</v>
      </c>
      <c r="K749" s="2" t="s">
        <v>1414</v>
      </c>
      <c r="L749" s="3">
        <v>16.8</v>
      </c>
      <c r="M749" s="3">
        <v>17.64</v>
      </c>
      <c r="N749" s="3">
        <v>39.99</v>
      </c>
      <c r="O749" s="2" t="s">
        <v>368</v>
      </c>
      <c r="P749" s="2" t="s">
        <v>215</v>
      </c>
      <c r="Q749" s="2" t="s">
        <v>97</v>
      </c>
      <c r="R749" s="2" t="s">
        <v>98</v>
      </c>
      <c r="S749" s="2" t="s">
        <v>2503</v>
      </c>
      <c r="T749" s="2" t="s">
        <v>98</v>
      </c>
      <c r="U749" s="2" t="s">
        <v>100</v>
      </c>
      <c r="V749" s="2" t="s">
        <v>101</v>
      </c>
      <c r="W749" s="2" t="s">
        <v>102</v>
      </c>
      <c r="X749" s="2" t="s">
        <v>98</v>
      </c>
      <c r="Y749" s="2" t="s">
        <v>2467</v>
      </c>
      <c r="Z749" s="4">
        <v>1</v>
      </c>
      <c r="AA749" s="4">
        <f>=ROUNDDOWN(2,0)</f>
      </c>
      <c r="AB749" s="5">
        <v>0.5</v>
      </c>
      <c r="AC749" s="2" t="s">
        <v>98</v>
      </c>
      <c r="AD749" s="4"/>
      <c r="AE749" s="4"/>
      <c r="AF749" s="6">
        <v>65</v>
      </c>
      <c r="AG749" s="6"/>
      <c r="AH749" s="7">
        <v>0.5333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2</v>
      </c>
      <c r="AQ749" s="8">
        <v>33.18</v>
      </c>
      <c r="AR749" s="4"/>
      <c r="AS749" s="8"/>
      <c r="AT749" s="7"/>
      <c r="AU749" s="7"/>
      <c r="AV749" s="4">
        <v>2</v>
      </c>
      <c r="AW749" s="8">
        <v>33.18</v>
      </c>
      <c r="AX749" s="4"/>
      <c r="AY749" s="8"/>
      <c r="AZ749" s="7"/>
      <c r="BA749" s="7"/>
      <c r="BB749" s="7">
        <v>1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>
        <v>0.3116</v>
      </c>
      <c r="BJ749" s="4">
        <v>6</v>
      </c>
      <c r="BK749" s="8">
        <v>101.5</v>
      </c>
      <c r="BL749" s="2" t="s">
        <v>2504</v>
      </c>
      <c r="BM749" s="7">
        <v>0.3333</v>
      </c>
      <c r="BN749" s="7">
        <v>0.3269</v>
      </c>
      <c r="BO749" s="4">
        <v>2</v>
      </c>
      <c r="BP749" s="8">
        <v>33.18</v>
      </c>
      <c r="BQ749" s="4"/>
      <c r="BR749" s="8"/>
      <c r="BS749" s="7"/>
      <c r="BT749" s="7"/>
      <c r="BU749" s="2" t="s">
        <v>211</v>
      </c>
      <c r="BV749" s="2" t="s">
        <v>352</v>
      </c>
      <c r="BW749" s="2" t="s">
        <v>2185</v>
      </c>
      <c r="BX749" s="2" t="s">
        <v>2505</v>
      </c>
      <c r="BY749" s="2" t="s">
        <v>354</v>
      </c>
    </row>
    <row r="750">
      <c r="A750" s="2" t="s">
        <v>2506</v>
      </c>
      <c r="B750" s="2" t="s">
        <v>86</v>
      </c>
      <c r="C750" s="2" t="s">
        <v>2106</v>
      </c>
      <c r="D750" s="2" t="s">
        <v>88</v>
      </c>
      <c r="E750" s="2" t="s">
        <v>88</v>
      </c>
      <c r="F750" s="2" t="s">
        <v>2496</v>
      </c>
      <c r="G750" s="2" t="s">
        <v>2497</v>
      </c>
      <c r="H750" s="2" t="s">
        <v>2498</v>
      </c>
      <c r="I750" s="2" t="s">
        <v>2499</v>
      </c>
      <c r="J750" s="2" t="s">
        <v>2420</v>
      </c>
      <c r="K750" s="2" t="s">
        <v>247</v>
      </c>
      <c r="L750" s="3">
        <v>18.45</v>
      </c>
      <c r="M750" s="3">
        <v>19.37</v>
      </c>
      <c r="N750" s="3">
        <v>44.99</v>
      </c>
      <c r="O750" s="2" t="s">
        <v>368</v>
      </c>
      <c r="P750" s="2" t="s">
        <v>215</v>
      </c>
      <c r="Q750" s="2" t="s">
        <v>97</v>
      </c>
      <c r="R750" s="2" t="s">
        <v>98</v>
      </c>
      <c r="S750" s="2" t="s">
        <v>2507</v>
      </c>
      <c r="T750" s="2" t="s">
        <v>98</v>
      </c>
      <c r="U750" s="2" t="s">
        <v>100</v>
      </c>
      <c r="V750" s="2" t="s">
        <v>101</v>
      </c>
      <c r="W750" s="2" t="s">
        <v>102</v>
      </c>
      <c r="X750" s="2" t="s">
        <v>98</v>
      </c>
      <c r="Y750" s="2" t="s">
        <v>2467</v>
      </c>
      <c r="Z750" s="4">
        <v>1</v>
      </c>
      <c r="AA750" s="4">
        <f>=ROUNDDOWN(0.232558139534884,0)</f>
      </c>
      <c r="AB750" s="5">
        <v>4.3</v>
      </c>
      <c r="AC750" s="2" t="s">
        <v>98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2</v>
      </c>
      <c r="AQ750" s="8">
        <v>19.38</v>
      </c>
      <c r="AR750" s="4"/>
      <c r="AS750" s="8"/>
      <c r="AT750" s="7"/>
      <c r="AU750" s="7"/>
      <c r="AV750" s="4">
        <v>2</v>
      </c>
      <c r="AW750" s="8">
        <v>19.38</v>
      </c>
      <c r="AX750" s="4"/>
      <c r="AY750" s="8"/>
      <c r="AZ750" s="7"/>
      <c r="BA750" s="7"/>
      <c r="BB750" s="7">
        <v>1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>
        <v>0.182</v>
      </c>
      <c r="BJ750" s="4">
        <v>45</v>
      </c>
      <c r="BK750" s="8">
        <v>848.84</v>
      </c>
      <c r="BL750" s="2" t="s">
        <v>2438</v>
      </c>
      <c r="BM750" s="7">
        <v>0.0444</v>
      </c>
      <c r="BN750" s="7">
        <v>0.0228</v>
      </c>
      <c r="BO750" s="4">
        <v>2</v>
      </c>
      <c r="BP750" s="8">
        <v>19.38</v>
      </c>
      <c r="BQ750" s="4"/>
      <c r="BR750" s="8"/>
      <c r="BS750" s="7"/>
      <c r="BT750" s="7"/>
      <c r="BU750" s="2" t="s">
        <v>211</v>
      </c>
      <c r="BV750" s="2" t="s">
        <v>352</v>
      </c>
      <c r="BW750" s="2" t="s">
        <v>2185</v>
      </c>
      <c r="BX750" s="2" t="s">
        <v>2508</v>
      </c>
      <c r="BY750" s="2" t="s">
        <v>354</v>
      </c>
    </row>
    <row r="751">
      <c r="A751" s="2" t="s">
        <v>2509</v>
      </c>
      <c r="B751" s="2" t="s">
        <v>86</v>
      </c>
      <c r="C751" s="2" t="s">
        <v>2106</v>
      </c>
      <c r="D751" s="2" t="s">
        <v>88</v>
      </c>
      <c r="E751" s="2" t="s">
        <v>88</v>
      </c>
      <c r="F751" s="2" t="s">
        <v>2510</v>
      </c>
      <c r="G751" s="2" t="s">
        <v>2511</v>
      </c>
      <c r="H751" s="2" t="s">
        <v>2512</v>
      </c>
      <c r="I751" s="2" t="s">
        <v>2513</v>
      </c>
      <c r="J751" s="2" t="s">
        <v>93</v>
      </c>
      <c r="K751" s="2" t="s">
        <v>464</v>
      </c>
      <c r="L751" s="3">
        <v>14</v>
      </c>
      <c r="M751" s="3">
        <v>14.7</v>
      </c>
      <c r="N751" s="3">
        <v>34.99</v>
      </c>
      <c r="O751" s="2" t="s">
        <v>368</v>
      </c>
      <c r="P751" s="2" t="s">
        <v>215</v>
      </c>
      <c r="Q751" s="2" t="s">
        <v>97</v>
      </c>
      <c r="R751" s="2" t="s">
        <v>98</v>
      </c>
      <c r="S751" s="2" t="s">
        <v>2514</v>
      </c>
      <c r="T751" s="2" t="s">
        <v>878</v>
      </c>
      <c r="U751" s="2" t="s">
        <v>100</v>
      </c>
      <c r="V751" s="2" t="s">
        <v>334</v>
      </c>
      <c r="W751" s="2" t="s">
        <v>98</v>
      </c>
      <c r="X751" s="2" t="s">
        <v>102</v>
      </c>
      <c r="Y751" s="2" t="s">
        <v>2515</v>
      </c>
      <c r="Z751" s="4"/>
      <c r="AA751" s="4">
        <f>=ROUNDDOWN({0},0)</f>
      </c>
      <c r="AB751" s="5"/>
      <c r="AC751" s="2" t="s">
        <v>98</v>
      </c>
      <c r="AD751" s="4"/>
      <c r="AE751" s="4"/>
      <c r="AF751" s="6">
        <v>65</v>
      </c>
      <c r="AG751" s="6"/>
      <c r="AH751" s="7">
        <v>0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>
        <v>14</v>
      </c>
      <c r="AS751" s="8">
        <v>187.46</v>
      </c>
      <c r="AT751" s="7">
        <v>-1</v>
      </c>
      <c r="AU751" s="7">
        <v>-1</v>
      </c>
      <c r="AV751" s="4" t="s">
        <v>98</v>
      </c>
      <c r="AW751" s="8" t="s">
        <v>98</v>
      </c>
      <c r="AX751" s="4">
        <v>24</v>
      </c>
      <c r="AY751" s="8">
        <v>334.46</v>
      </c>
      <c r="AZ751" s="7" t="s">
        <v>98</v>
      </c>
      <c r="BA751" s="7" t="s">
        <v>98</v>
      </c>
      <c r="BB751" s="7"/>
      <c r="BC751" s="4" t="s">
        <v>98</v>
      </c>
      <c r="BD751" s="8" t="s">
        <v>98</v>
      </c>
      <c r="BE751" s="4">
        <v>88</v>
      </c>
      <c r="BF751" s="8">
        <v>1233.34</v>
      </c>
      <c r="BG751" s="7" t="s">
        <v>98</v>
      </c>
      <c r="BH751" s="7" t="s">
        <v>98</v>
      </c>
      <c r="BI751" s="7"/>
      <c r="BJ751" s="4"/>
      <c r="BK751" s="8"/>
      <c r="BL751" s="2" t="s">
        <v>2516</v>
      </c>
      <c r="BM751" s="7"/>
      <c r="BN751" s="7"/>
      <c r="BO751" s="4"/>
      <c r="BP751" s="8"/>
      <c r="BQ751" s="4">
        <v>14</v>
      </c>
      <c r="BR751" s="8">
        <v>187.46</v>
      </c>
      <c r="BS751" s="7">
        <v>-1</v>
      </c>
      <c r="BT751" s="7">
        <v>-1</v>
      </c>
      <c r="BU751" s="2" t="s">
        <v>211</v>
      </c>
      <c r="BV751" s="2" t="s">
        <v>352</v>
      </c>
      <c r="BW751" s="2" t="s">
        <v>801</v>
      </c>
      <c r="BX751" s="2" t="s">
        <v>960</v>
      </c>
      <c r="BY751" s="2" t="s">
        <v>354</v>
      </c>
    </row>
    <row r="752">
      <c r="A752" s="2" t="s">
        <v>2517</v>
      </c>
      <c r="B752" s="2" t="s">
        <v>86</v>
      </c>
      <c r="C752" s="2" t="s">
        <v>2106</v>
      </c>
      <c r="D752" s="2" t="s">
        <v>88</v>
      </c>
      <c r="E752" s="2" t="s">
        <v>88</v>
      </c>
      <c r="F752" s="2" t="s">
        <v>2510</v>
      </c>
      <c r="G752" s="2" t="s">
        <v>2511</v>
      </c>
      <c r="H752" s="2" t="s">
        <v>2512</v>
      </c>
      <c r="I752" s="2" t="s">
        <v>2513</v>
      </c>
      <c r="J752" s="2" t="s">
        <v>113</v>
      </c>
      <c r="K752" s="2" t="s">
        <v>464</v>
      </c>
      <c r="L752" s="3">
        <v>16</v>
      </c>
      <c r="M752" s="3">
        <v>16.8</v>
      </c>
      <c r="N752" s="3">
        <v>39.99</v>
      </c>
      <c r="O752" s="2" t="s">
        <v>368</v>
      </c>
      <c r="P752" s="2" t="s">
        <v>215</v>
      </c>
      <c r="Q752" s="2" t="s">
        <v>97</v>
      </c>
      <c r="R752" s="2" t="s">
        <v>98</v>
      </c>
      <c r="S752" s="2" t="s">
        <v>2514</v>
      </c>
      <c r="T752" s="2" t="s">
        <v>878</v>
      </c>
      <c r="U752" s="2" t="s">
        <v>100</v>
      </c>
      <c r="V752" s="2" t="s">
        <v>334</v>
      </c>
      <c r="W752" s="2" t="s">
        <v>98</v>
      </c>
      <c r="X752" s="2" t="s">
        <v>102</v>
      </c>
      <c r="Y752" s="2" t="s">
        <v>2515</v>
      </c>
      <c r="Z752" s="4"/>
      <c r="AA752" s="4">
        <f>=ROUNDDOWN({0},0)</f>
      </c>
      <c r="AB752" s="5"/>
      <c r="AC752" s="2" t="s">
        <v>98</v>
      </c>
      <c r="AD752" s="4"/>
      <c r="AE752" s="4"/>
      <c r="AF752" s="6">
        <v>65</v>
      </c>
      <c r="AG752" s="6"/>
      <c r="AH752" s="7">
        <v>0.4222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>
        <v>10</v>
      </c>
      <c r="AS752" s="8">
        <v>147</v>
      </c>
      <c r="AT752" s="7">
        <v>-1</v>
      </c>
      <c r="AU752" s="7">
        <v>-1</v>
      </c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/>
      <c r="BK752" s="8"/>
      <c r="BL752" s="2" t="s">
        <v>588</v>
      </c>
      <c r="BM752" s="7"/>
      <c r="BN752" s="7"/>
      <c r="BO752" s="4"/>
      <c r="BP752" s="8"/>
      <c r="BQ752" s="4">
        <v>10</v>
      </c>
      <c r="BR752" s="8">
        <v>147</v>
      </c>
      <c r="BS752" s="7">
        <v>-1</v>
      </c>
      <c r="BT752" s="7">
        <v>-1</v>
      </c>
      <c r="BU752" s="2" t="s">
        <v>211</v>
      </c>
      <c r="BV752" s="2" t="s">
        <v>352</v>
      </c>
      <c r="BW752" s="2" t="s">
        <v>801</v>
      </c>
      <c r="BX752" s="2" t="s">
        <v>967</v>
      </c>
      <c r="BY752" s="2" t="s">
        <v>111</v>
      </c>
    </row>
    <row r="753">
      <c r="A753" s="2" t="s">
        <v>2518</v>
      </c>
      <c r="B753" s="2" t="s">
        <v>86</v>
      </c>
      <c r="C753" s="2" t="s">
        <v>2106</v>
      </c>
      <c r="D753" s="2" t="s">
        <v>88</v>
      </c>
      <c r="E753" s="2" t="s">
        <v>88</v>
      </c>
      <c r="F753" s="2" t="s">
        <v>2510</v>
      </c>
      <c r="G753" s="2" t="s">
        <v>2511</v>
      </c>
      <c r="H753" s="2" t="s">
        <v>2512</v>
      </c>
      <c r="I753" s="2" t="s">
        <v>2513</v>
      </c>
      <c r="J753" s="2" t="s">
        <v>93</v>
      </c>
      <c r="K753" s="2" t="s">
        <v>1414</v>
      </c>
      <c r="L753" s="3">
        <v>14</v>
      </c>
      <c r="M753" s="3">
        <v>14.7</v>
      </c>
      <c r="N753" s="3">
        <v>34.99</v>
      </c>
      <c r="O753" s="2" t="s">
        <v>368</v>
      </c>
      <c r="P753" s="2" t="s">
        <v>215</v>
      </c>
      <c r="Q753" s="2" t="s">
        <v>97</v>
      </c>
      <c r="R753" s="2" t="s">
        <v>98</v>
      </c>
      <c r="S753" s="2" t="s">
        <v>2519</v>
      </c>
      <c r="T753" s="2" t="s">
        <v>878</v>
      </c>
      <c r="U753" s="2" t="s">
        <v>100</v>
      </c>
      <c r="V753" s="2" t="s">
        <v>334</v>
      </c>
      <c r="W753" s="2" t="s">
        <v>98</v>
      </c>
      <c r="X753" s="2" t="s">
        <v>102</v>
      </c>
      <c r="Y753" s="2" t="s">
        <v>2515</v>
      </c>
      <c r="Z753" s="4">
        <v>4</v>
      </c>
      <c r="AA753" s="4">
        <f>=ROUNDDOWN(2.66666666666667,0)</f>
      </c>
      <c r="AB753" s="5">
        <v>1.5</v>
      </c>
      <c r="AC753" s="2" t="s">
        <v>98</v>
      </c>
      <c r="AD753" s="4"/>
      <c r="AE753" s="4"/>
      <c r="AF753" s="6">
        <v>65</v>
      </c>
      <c r="AG753" s="6"/>
      <c r="AH753" s="7">
        <v>0.5556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>
        <v>32</v>
      </c>
      <c r="AS753" s="8">
        <v>428.48</v>
      </c>
      <c r="AT753" s="7">
        <v>-1</v>
      </c>
      <c r="AU753" s="7">
        <v>-1</v>
      </c>
      <c r="AV753" s="4" t="s">
        <v>98</v>
      </c>
      <c r="AW753" s="8" t="s">
        <v>98</v>
      </c>
      <c r="AX753" s="4">
        <v>64</v>
      </c>
      <c r="AY753" s="8">
        <v>898.88</v>
      </c>
      <c r="AZ753" s="7" t="s">
        <v>98</v>
      </c>
      <c r="BA753" s="7" t="s">
        <v>98</v>
      </c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11</v>
      </c>
      <c r="BK753" s="8">
        <v>137.1</v>
      </c>
      <c r="BL753" s="2" t="s">
        <v>2520</v>
      </c>
      <c r="BM753" s="7"/>
      <c r="BN753" s="7"/>
      <c r="BO753" s="4"/>
      <c r="BP753" s="8"/>
      <c r="BQ753" s="4">
        <v>32</v>
      </c>
      <c r="BR753" s="8">
        <v>428.48</v>
      </c>
      <c r="BS753" s="7">
        <v>-1</v>
      </c>
      <c r="BT753" s="7">
        <v>-1</v>
      </c>
      <c r="BU753" s="2" t="s">
        <v>211</v>
      </c>
      <c r="BV753" s="2" t="s">
        <v>352</v>
      </c>
      <c r="BW753" s="2" t="s">
        <v>801</v>
      </c>
      <c r="BX753" s="2" t="s">
        <v>802</v>
      </c>
      <c r="BY753" s="2" t="s">
        <v>111</v>
      </c>
    </row>
    <row r="754">
      <c r="A754" s="2" t="s">
        <v>2521</v>
      </c>
      <c r="B754" s="2" t="s">
        <v>86</v>
      </c>
      <c r="C754" s="2" t="s">
        <v>2106</v>
      </c>
      <c r="D754" s="2" t="s">
        <v>88</v>
      </c>
      <c r="E754" s="2" t="s">
        <v>88</v>
      </c>
      <c r="F754" s="2" t="s">
        <v>2510</v>
      </c>
      <c r="G754" s="2" t="s">
        <v>2511</v>
      </c>
      <c r="H754" s="2" t="s">
        <v>2512</v>
      </c>
      <c r="I754" s="2" t="s">
        <v>2513</v>
      </c>
      <c r="J754" s="2" t="s">
        <v>113</v>
      </c>
      <c r="K754" s="2" t="s">
        <v>1414</v>
      </c>
      <c r="L754" s="3">
        <v>16</v>
      </c>
      <c r="M754" s="3">
        <v>16.8</v>
      </c>
      <c r="N754" s="3">
        <v>39.99</v>
      </c>
      <c r="O754" s="2" t="s">
        <v>368</v>
      </c>
      <c r="P754" s="2" t="s">
        <v>215</v>
      </c>
      <c r="Q754" s="2" t="s">
        <v>97</v>
      </c>
      <c r="R754" s="2" t="s">
        <v>98</v>
      </c>
      <c r="S754" s="2" t="s">
        <v>2519</v>
      </c>
      <c r="T754" s="2" t="s">
        <v>878</v>
      </c>
      <c r="U754" s="2" t="s">
        <v>100</v>
      </c>
      <c r="V754" s="2" t="s">
        <v>334</v>
      </c>
      <c r="W754" s="2" t="s">
        <v>98</v>
      </c>
      <c r="X754" s="2" t="s">
        <v>102</v>
      </c>
      <c r="Y754" s="2" t="s">
        <v>2515</v>
      </c>
      <c r="Z754" s="4">
        <v>1</v>
      </c>
      <c r="AA754" s="4">
        <f>=ROUNDDOWN({0},0)</f>
      </c>
      <c r="AB754" s="5"/>
      <c r="AC754" s="2" t="s">
        <v>98</v>
      </c>
      <c r="AD754" s="4"/>
      <c r="AE754" s="4"/>
      <c r="AF754" s="6">
        <v>65</v>
      </c>
      <c r="AG754" s="6"/>
      <c r="AH754" s="7">
        <v>0.4222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>
        <v>32</v>
      </c>
      <c r="AS754" s="8">
        <v>470.4</v>
      </c>
      <c r="AT754" s="7">
        <v>-1</v>
      </c>
      <c r="AU754" s="7">
        <v>-1</v>
      </c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/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/>
      <c r="BJ754" s="4"/>
      <c r="BK754" s="8"/>
      <c r="BL754" s="2" t="s">
        <v>2516</v>
      </c>
      <c r="BM754" s="7"/>
      <c r="BN754" s="7"/>
      <c r="BO754" s="4"/>
      <c r="BP754" s="8"/>
      <c r="BQ754" s="4">
        <v>32</v>
      </c>
      <c r="BR754" s="8">
        <v>470.4</v>
      </c>
      <c r="BS754" s="7">
        <v>-1</v>
      </c>
      <c r="BT754" s="7">
        <v>-1</v>
      </c>
      <c r="BU754" s="2" t="s">
        <v>211</v>
      </c>
      <c r="BV754" s="2" t="s">
        <v>352</v>
      </c>
      <c r="BW754" s="2" t="s">
        <v>801</v>
      </c>
      <c r="BX754" s="2" t="s">
        <v>2522</v>
      </c>
      <c r="BY754" s="2" t="s">
        <v>354</v>
      </c>
    </row>
    <row r="755">
      <c r="A755" s="2" t="s">
        <v>2523</v>
      </c>
      <c r="B755" s="2" t="s">
        <v>86</v>
      </c>
      <c r="C755" s="2" t="s">
        <v>2106</v>
      </c>
      <c r="D755" s="2" t="s">
        <v>88</v>
      </c>
      <c r="E755" s="2" t="s">
        <v>1597</v>
      </c>
      <c r="F755" s="2" t="s">
        <v>1094</v>
      </c>
      <c r="G755" s="2" t="s">
        <v>1095</v>
      </c>
      <c r="H755" s="2" t="s">
        <v>1096</v>
      </c>
      <c r="I755" s="2" t="s">
        <v>2524</v>
      </c>
      <c r="J755" s="2" t="s">
        <v>809</v>
      </c>
      <c r="K755" s="2" t="s">
        <v>400</v>
      </c>
      <c r="L755" s="3">
        <v>21.5</v>
      </c>
      <c r="M755" s="3">
        <v>22.58</v>
      </c>
      <c r="N755" s="3">
        <v>49.99</v>
      </c>
      <c r="O755" s="2" t="s">
        <v>368</v>
      </c>
      <c r="P755" s="2" t="s">
        <v>215</v>
      </c>
      <c r="Q755" s="2" t="s">
        <v>97</v>
      </c>
      <c r="R755" s="2" t="s">
        <v>98</v>
      </c>
      <c r="S755" s="2" t="s">
        <v>1098</v>
      </c>
      <c r="T755" s="2" t="s">
        <v>98</v>
      </c>
      <c r="U755" s="2" t="s">
        <v>1494</v>
      </c>
      <c r="V755" s="2" t="s">
        <v>101</v>
      </c>
      <c r="W755" s="2" t="s">
        <v>335</v>
      </c>
      <c r="X755" s="2" t="s">
        <v>98</v>
      </c>
      <c r="Y755" s="2" t="s">
        <v>2525</v>
      </c>
      <c r="Z755" s="4"/>
      <c r="AA755" s="4">
        <f>=ROUNDDOWN({0},0)</f>
      </c>
      <c r="AB755" s="5"/>
      <c r="AC755" s="2" t="s">
        <v>98</v>
      </c>
      <c r="AD755" s="4"/>
      <c r="AE755" s="4"/>
      <c r="AF755" s="6"/>
      <c r="AG755" s="6"/>
      <c r="AH755" s="7">
        <v>0.4222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>
        <v>15</v>
      </c>
      <c r="AS755" s="8">
        <v>294.75</v>
      </c>
      <c r="AT755" s="7">
        <v>-1</v>
      </c>
      <c r="AU755" s="7">
        <v>-1</v>
      </c>
      <c r="AV755" s="4">
        <v>31</v>
      </c>
      <c r="AW755" s="8">
        <v>949.93</v>
      </c>
      <c r="AX755" s="4">
        <v>15</v>
      </c>
      <c r="AY755" s="8">
        <v>294.75</v>
      </c>
      <c r="AZ755" s="7">
        <v>1.0667</v>
      </c>
      <c r="BA755" s="7">
        <v>2.2228</v>
      </c>
      <c r="BB755" s="7"/>
      <c r="BC755" s="4">
        <v>85</v>
      </c>
      <c r="BD755" s="8">
        <v>2519.19</v>
      </c>
      <c r="BE755" s="4">
        <v>98</v>
      </c>
      <c r="BF755" s="8">
        <v>2082.82</v>
      </c>
      <c r="BG755" s="7">
        <v>-0.1327</v>
      </c>
      <c r="BH755" s="7">
        <v>0.2095</v>
      </c>
      <c r="BI755" s="7">
        <v>0.3771</v>
      </c>
      <c r="BJ755" s="4"/>
      <c r="BK755" s="8"/>
      <c r="BL755" s="2" t="s">
        <v>2516</v>
      </c>
      <c r="BM755" s="7"/>
      <c r="BN755" s="7"/>
      <c r="BO755" s="4"/>
      <c r="BP755" s="8"/>
      <c r="BQ755" s="4">
        <v>15</v>
      </c>
      <c r="BR755" s="8">
        <v>294.75</v>
      </c>
      <c r="BS755" s="7">
        <v>-1</v>
      </c>
      <c r="BT755" s="7">
        <v>-1</v>
      </c>
      <c r="BU755" s="2" t="s">
        <v>211</v>
      </c>
      <c r="BV755" s="2" t="s">
        <v>352</v>
      </c>
      <c r="BW755" s="2" t="s">
        <v>2526</v>
      </c>
      <c r="BX755" s="2" t="s">
        <v>720</v>
      </c>
      <c r="BY755" s="2" t="s">
        <v>111</v>
      </c>
    </row>
    <row r="756">
      <c r="A756" s="2" t="s">
        <v>2527</v>
      </c>
      <c r="B756" s="2" t="s">
        <v>86</v>
      </c>
      <c r="C756" s="2" t="s">
        <v>2106</v>
      </c>
      <c r="D756" s="2" t="s">
        <v>88</v>
      </c>
      <c r="E756" s="2" t="s">
        <v>1597</v>
      </c>
      <c r="F756" s="2" t="s">
        <v>1094</v>
      </c>
      <c r="G756" s="2" t="s">
        <v>1095</v>
      </c>
      <c r="H756" s="2" t="s">
        <v>1096</v>
      </c>
      <c r="I756" s="2" t="s">
        <v>2528</v>
      </c>
      <c r="J756" s="2" t="s">
        <v>814</v>
      </c>
      <c r="K756" s="2" t="s">
        <v>400</v>
      </c>
      <c r="L756" s="3">
        <v>23.65</v>
      </c>
      <c r="M756" s="3">
        <v>24.83</v>
      </c>
      <c r="N756" s="3">
        <v>54.99</v>
      </c>
      <c r="O756" s="2" t="s">
        <v>95</v>
      </c>
      <c r="P756" s="2" t="s">
        <v>150</v>
      </c>
      <c r="Q756" s="2" t="s">
        <v>97</v>
      </c>
      <c r="R756" s="2" t="s">
        <v>98</v>
      </c>
      <c r="S756" s="2" t="s">
        <v>1098</v>
      </c>
      <c r="T756" s="2" t="s">
        <v>878</v>
      </c>
      <c r="U756" s="2" t="s">
        <v>1494</v>
      </c>
      <c r="V756" s="2" t="s">
        <v>101</v>
      </c>
      <c r="W756" s="2" t="s">
        <v>335</v>
      </c>
      <c r="X756" s="2" t="s">
        <v>130</v>
      </c>
      <c r="Y756" s="2" t="s">
        <v>2525</v>
      </c>
      <c r="Z756" s="4">
        <v>282</v>
      </c>
      <c r="AA756" s="4">
        <f>=ROUNDDOWN(28.2,0)</f>
      </c>
      <c r="AB756" s="5">
        <v>10</v>
      </c>
      <c r="AC756" s="2" t="s">
        <v>2529</v>
      </c>
      <c r="AD756" s="4">
        <v>68</v>
      </c>
      <c r="AE756" s="4">
        <v>200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13</v>
      </c>
      <c r="AQ756" s="8">
        <v>378.43</v>
      </c>
      <c r="AR756" s="4"/>
      <c r="AS756" s="8"/>
      <c r="AT756" s="7"/>
      <c r="AU756" s="7"/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>
        <v>0.3984</v>
      </c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 t="s">
        <v>98</v>
      </c>
      <c r="BJ756" s="4">
        <v>177</v>
      </c>
      <c r="BK756" s="8">
        <v>4503.23</v>
      </c>
      <c r="BL756" s="2" t="s">
        <v>2278</v>
      </c>
      <c r="BM756" s="7">
        <v>0.0734</v>
      </c>
      <c r="BN756" s="7">
        <v>0.084</v>
      </c>
      <c r="BO756" s="4">
        <v>13</v>
      </c>
      <c r="BP756" s="8">
        <v>378.43</v>
      </c>
      <c r="BQ756" s="4"/>
      <c r="BR756" s="8"/>
      <c r="BS756" s="7"/>
      <c r="BT756" s="7"/>
      <c r="BU756" s="2" t="s">
        <v>107</v>
      </c>
      <c r="BV756" s="2" t="s">
        <v>108</v>
      </c>
      <c r="BW756" s="2" t="s">
        <v>2526</v>
      </c>
      <c r="BX756" s="2" t="s">
        <v>2530</v>
      </c>
      <c r="BY756" s="2" t="s">
        <v>111</v>
      </c>
    </row>
    <row r="757">
      <c r="A757" s="2" t="s">
        <v>2531</v>
      </c>
      <c r="B757" s="2" t="s">
        <v>86</v>
      </c>
      <c r="C757" s="2" t="s">
        <v>2106</v>
      </c>
      <c r="D757" s="2" t="s">
        <v>88</v>
      </c>
      <c r="E757" s="2" t="s">
        <v>1597</v>
      </c>
      <c r="F757" s="2" t="s">
        <v>1094</v>
      </c>
      <c r="G757" s="2" t="s">
        <v>1095</v>
      </c>
      <c r="H757" s="2" t="s">
        <v>1096</v>
      </c>
      <c r="I757" s="2" t="s">
        <v>2528</v>
      </c>
      <c r="J757" s="2" t="s">
        <v>1513</v>
      </c>
      <c r="K757" s="2" t="s">
        <v>400</v>
      </c>
      <c r="L757" s="3">
        <v>25.8</v>
      </c>
      <c r="M757" s="3">
        <v>27.09</v>
      </c>
      <c r="N757" s="3">
        <v>59.99</v>
      </c>
      <c r="O757" s="2" t="s">
        <v>95</v>
      </c>
      <c r="P757" s="2" t="s">
        <v>150</v>
      </c>
      <c r="Q757" s="2" t="s">
        <v>97</v>
      </c>
      <c r="R757" s="2" t="s">
        <v>98</v>
      </c>
      <c r="S757" s="2" t="s">
        <v>1098</v>
      </c>
      <c r="T757" s="2" t="s">
        <v>878</v>
      </c>
      <c r="U757" s="2" t="s">
        <v>1494</v>
      </c>
      <c r="V757" s="2" t="s">
        <v>101</v>
      </c>
      <c r="W757" s="2" t="s">
        <v>335</v>
      </c>
      <c r="X757" s="2" t="s">
        <v>130</v>
      </c>
      <c r="Y757" s="2" t="s">
        <v>2525</v>
      </c>
      <c r="Z757" s="4">
        <v>287</v>
      </c>
      <c r="AA757" s="4">
        <f>=ROUNDDOWN(26.0909090909091,0)</f>
      </c>
      <c r="AB757" s="5">
        <v>11</v>
      </c>
      <c r="AC757" s="2" t="s">
        <v>2529</v>
      </c>
      <c r="AD757" s="4">
        <v>76</v>
      </c>
      <c r="AE757" s="4">
        <v>232</v>
      </c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18</v>
      </c>
      <c r="AQ757" s="8">
        <v>571.5</v>
      </c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>
        <v>0.6016</v>
      </c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 t="s">
        <v>98</v>
      </c>
      <c r="BJ757" s="4">
        <v>264</v>
      </c>
      <c r="BK757" s="8">
        <v>7502.69</v>
      </c>
      <c r="BL757" s="2" t="s">
        <v>2532</v>
      </c>
      <c r="BM757" s="7">
        <v>0.0682</v>
      </c>
      <c r="BN757" s="7">
        <v>0.0762</v>
      </c>
      <c r="BO757" s="4">
        <v>18</v>
      </c>
      <c r="BP757" s="8">
        <v>571.5</v>
      </c>
      <c r="BQ757" s="4"/>
      <c r="BR757" s="8"/>
      <c r="BS757" s="7"/>
      <c r="BT757" s="7"/>
      <c r="BU757" s="2" t="s">
        <v>107</v>
      </c>
      <c r="BV757" s="2" t="s">
        <v>108</v>
      </c>
      <c r="BW757" s="2" t="s">
        <v>2526</v>
      </c>
      <c r="BX757" s="2" t="s">
        <v>2533</v>
      </c>
      <c r="BY757" s="2" t="s">
        <v>111</v>
      </c>
    </row>
    <row r="758">
      <c r="A758" s="2" t="s">
        <v>2534</v>
      </c>
      <c r="B758" s="2" t="s">
        <v>86</v>
      </c>
      <c r="C758" s="2" t="s">
        <v>2106</v>
      </c>
      <c r="D758" s="2" t="s">
        <v>88</v>
      </c>
      <c r="E758" s="2" t="s">
        <v>1597</v>
      </c>
      <c r="F758" s="2" t="s">
        <v>1094</v>
      </c>
      <c r="G758" s="2" t="s">
        <v>1095</v>
      </c>
      <c r="H758" s="2" t="s">
        <v>1096</v>
      </c>
      <c r="I758" s="2" t="s">
        <v>2524</v>
      </c>
      <c r="J758" s="2" t="s">
        <v>809</v>
      </c>
      <c r="K758" s="2" t="s">
        <v>997</v>
      </c>
      <c r="L758" s="3">
        <v>21.5</v>
      </c>
      <c r="M758" s="3">
        <v>22.58</v>
      </c>
      <c r="N758" s="3">
        <v>49.99</v>
      </c>
      <c r="O758" s="2" t="s">
        <v>368</v>
      </c>
      <c r="P758" s="2" t="s">
        <v>215</v>
      </c>
      <c r="Q758" s="2" t="s">
        <v>97</v>
      </c>
      <c r="R758" s="2" t="s">
        <v>98</v>
      </c>
      <c r="S758" s="2" t="s">
        <v>1149</v>
      </c>
      <c r="T758" s="2" t="s">
        <v>98</v>
      </c>
      <c r="U758" s="2" t="s">
        <v>1494</v>
      </c>
      <c r="V758" s="2" t="s">
        <v>101</v>
      </c>
      <c r="W758" s="2" t="s">
        <v>335</v>
      </c>
      <c r="X758" s="2" t="s">
        <v>98</v>
      </c>
      <c r="Y758" s="2" t="s">
        <v>2525</v>
      </c>
      <c r="Z758" s="4"/>
      <c r="AA758" s="4">
        <f>=ROUNDDOWN({0},0)</f>
      </c>
      <c r="AB758" s="5"/>
      <c r="AC758" s="2" t="s">
        <v>98</v>
      </c>
      <c r="AD758" s="4"/>
      <c r="AE758" s="4"/>
      <c r="AF758" s="6">
        <v>65</v>
      </c>
      <c r="AG758" s="6"/>
      <c r="AH758" s="7">
        <v>0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>
        <v>12</v>
      </c>
      <c r="AS758" s="8">
        <v>235.8</v>
      </c>
      <c r="AT758" s="7">
        <v>-1</v>
      </c>
      <c r="AU758" s="7">
        <v>-1</v>
      </c>
      <c r="AV758" s="4">
        <v>23</v>
      </c>
      <c r="AW758" s="8">
        <v>677.45</v>
      </c>
      <c r="AX758" s="4">
        <v>43</v>
      </c>
      <c r="AY758" s="8">
        <v>944.29</v>
      </c>
      <c r="AZ758" s="7">
        <v>-0.4651</v>
      </c>
      <c r="BA758" s="7">
        <v>-0.2826</v>
      </c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>
        <v>0.2689</v>
      </c>
      <c r="BJ758" s="4"/>
      <c r="BK758" s="8"/>
      <c r="BL758" s="2" t="s">
        <v>2535</v>
      </c>
      <c r="BM758" s="7"/>
      <c r="BN758" s="7"/>
      <c r="BO758" s="4"/>
      <c r="BP758" s="8"/>
      <c r="BQ758" s="4">
        <v>12</v>
      </c>
      <c r="BR758" s="8">
        <v>235.8</v>
      </c>
      <c r="BS758" s="7">
        <v>-1</v>
      </c>
      <c r="BT758" s="7">
        <v>-1</v>
      </c>
      <c r="BU758" s="2" t="s">
        <v>211</v>
      </c>
      <c r="BV758" s="2" t="s">
        <v>352</v>
      </c>
      <c r="BW758" s="2" t="s">
        <v>2526</v>
      </c>
      <c r="BX758" s="2" t="s">
        <v>731</v>
      </c>
      <c r="BY758" s="2" t="s">
        <v>111</v>
      </c>
    </row>
    <row r="759">
      <c r="A759" s="2" t="s">
        <v>2536</v>
      </c>
      <c r="B759" s="2" t="s">
        <v>86</v>
      </c>
      <c r="C759" s="2" t="s">
        <v>2106</v>
      </c>
      <c r="D759" s="2" t="s">
        <v>88</v>
      </c>
      <c r="E759" s="2" t="s">
        <v>1597</v>
      </c>
      <c r="F759" s="2" t="s">
        <v>1094</v>
      </c>
      <c r="G759" s="2" t="s">
        <v>1095</v>
      </c>
      <c r="H759" s="2" t="s">
        <v>1096</v>
      </c>
      <c r="I759" s="2" t="s">
        <v>2528</v>
      </c>
      <c r="J759" s="2" t="s">
        <v>814</v>
      </c>
      <c r="K759" s="2" t="s">
        <v>997</v>
      </c>
      <c r="L759" s="3">
        <v>23.65</v>
      </c>
      <c r="M759" s="3">
        <v>24.83</v>
      </c>
      <c r="N759" s="3">
        <v>54.99</v>
      </c>
      <c r="O759" s="2" t="s">
        <v>95</v>
      </c>
      <c r="P759" s="2" t="s">
        <v>150</v>
      </c>
      <c r="Q759" s="2" t="s">
        <v>97</v>
      </c>
      <c r="R759" s="2" t="s">
        <v>98</v>
      </c>
      <c r="S759" s="2" t="s">
        <v>1149</v>
      </c>
      <c r="T759" s="2" t="s">
        <v>878</v>
      </c>
      <c r="U759" s="2" t="s">
        <v>1494</v>
      </c>
      <c r="V759" s="2" t="s">
        <v>101</v>
      </c>
      <c r="W759" s="2" t="s">
        <v>335</v>
      </c>
      <c r="X759" s="2" t="s">
        <v>130</v>
      </c>
      <c r="Y759" s="2" t="s">
        <v>2525</v>
      </c>
      <c r="Z759" s="4">
        <v>126</v>
      </c>
      <c r="AA759" s="4">
        <f>=ROUNDDOWN(17.7464788732394,0)</f>
      </c>
      <c r="AB759" s="5">
        <v>7.1</v>
      </c>
      <c r="AC759" s="2" t="s">
        <v>2537</v>
      </c>
      <c r="AD759" s="4">
        <v>60</v>
      </c>
      <c r="AE759" s="4">
        <v>224</v>
      </c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>
        <v>20</v>
      </c>
      <c r="AQ759" s="8">
        <v>582.2</v>
      </c>
      <c r="AR759" s="4">
        <v>16</v>
      </c>
      <c r="AS759" s="8">
        <v>348.64</v>
      </c>
      <c r="AT759" s="7">
        <v>0.25</v>
      </c>
      <c r="AU759" s="7">
        <v>0.6699</v>
      </c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>
        <v>0.8594</v>
      </c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 t="s">
        <v>98</v>
      </c>
      <c r="BJ759" s="4">
        <v>140</v>
      </c>
      <c r="BK759" s="8">
        <v>3652.67</v>
      </c>
      <c r="BL759" s="2" t="s">
        <v>1077</v>
      </c>
      <c r="BM759" s="7">
        <v>0.1429</v>
      </c>
      <c r="BN759" s="7">
        <v>0.1594</v>
      </c>
      <c r="BO759" s="4">
        <v>20</v>
      </c>
      <c r="BP759" s="8">
        <v>582.2</v>
      </c>
      <c r="BQ759" s="4">
        <v>16</v>
      </c>
      <c r="BR759" s="8">
        <v>348.64</v>
      </c>
      <c r="BS759" s="7">
        <v>0.25</v>
      </c>
      <c r="BT759" s="7">
        <v>0.6699</v>
      </c>
      <c r="BU759" s="2" t="s">
        <v>107</v>
      </c>
      <c r="BV759" s="2" t="s">
        <v>108</v>
      </c>
      <c r="BW759" s="2" t="s">
        <v>2526</v>
      </c>
      <c r="BX759" s="2" t="s">
        <v>2538</v>
      </c>
      <c r="BY759" s="2" t="s">
        <v>111</v>
      </c>
    </row>
    <row r="760">
      <c r="A760" s="2" t="s">
        <v>2539</v>
      </c>
      <c r="B760" s="2" t="s">
        <v>86</v>
      </c>
      <c r="C760" s="2" t="s">
        <v>2106</v>
      </c>
      <c r="D760" s="2" t="s">
        <v>88</v>
      </c>
      <c r="E760" s="2" t="s">
        <v>1597</v>
      </c>
      <c r="F760" s="2" t="s">
        <v>1094</v>
      </c>
      <c r="G760" s="2" t="s">
        <v>1095</v>
      </c>
      <c r="H760" s="2" t="s">
        <v>1096</v>
      </c>
      <c r="I760" s="2" t="s">
        <v>2528</v>
      </c>
      <c r="J760" s="2" t="s">
        <v>1513</v>
      </c>
      <c r="K760" s="2" t="s">
        <v>997</v>
      </c>
      <c r="L760" s="3">
        <v>25.8</v>
      </c>
      <c r="M760" s="3">
        <v>27.09</v>
      </c>
      <c r="N760" s="3">
        <v>59.99</v>
      </c>
      <c r="O760" s="2" t="s">
        <v>95</v>
      </c>
      <c r="P760" s="2" t="s">
        <v>150</v>
      </c>
      <c r="Q760" s="2" t="s">
        <v>97</v>
      </c>
      <c r="R760" s="2" t="s">
        <v>98</v>
      </c>
      <c r="S760" s="2" t="s">
        <v>1149</v>
      </c>
      <c r="T760" s="2" t="s">
        <v>878</v>
      </c>
      <c r="U760" s="2" t="s">
        <v>1494</v>
      </c>
      <c r="V760" s="2" t="s">
        <v>101</v>
      </c>
      <c r="W760" s="2" t="s">
        <v>335</v>
      </c>
      <c r="X760" s="2" t="s">
        <v>130</v>
      </c>
      <c r="Y760" s="2" t="s">
        <v>2525</v>
      </c>
      <c r="Z760" s="4">
        <v>408</v>
      </c>
      <c r="AA760" s="4">
        <f>=ROUNDDOWN(51,0)</f>
      </c>
      <c r="AB760" s="5">
        <v>8</v>
      </c>
      <c r="AC760" s="2" t="s">
        <v>98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3</v>
      </c>
      <c r="AQ760" s="8">
        <v>95.25</v>
      </c>
      <c r="AR760" s="4">
        <v>15</v>
      </c>
      <c r="AS760" s="8">
        <v>359.85</v>
      </c>
      <c r="AT760" s="7">
        <v>-0.8</v>
      </c>
      <c r="AU760" s="7">
        <v>-0.7353</v>
      </c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>
        <v>0.1406</v>
      </c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 t="s">
        <v>98</v>
      </c>
      <c r="BJ760" s="4">
        <v>91</v>
      </c>
      <c r="BK760" s="8">
        <v>2550.94</v>
      </c>
      <c r="BL760" s="2" t="s">
        <v>2263</v>
      </c>
      <c r="BM760" s="7">
        <v>0.033</v>
      </c>
      <c r="BN760" s="7">
        <v>0.0373</v>
      </c>
      <c r="BO760" s="4">
        <v>3</v>
      </c>
      <c r="BP760" s="8">
        <v>95.25</v>
      </c>
      <c r="BQ760" s="4">
        <v>15</v>
      </c>
      <c r="BR760" s="8">
        <v>359.85</v>
      </c>
      <c r="BS760" s="7">
        <v>-0.8</v>
      </c>
      <c r="BT760" s="7">
        <v>-0.7353</v>
      </c>
      <c r="BU760" s="2" t="s">
        <v>107</v>
      </c>
      <c r="BV760" s="2" t="s">
        <v>108</v>
      </c>
      <c r="BW760" s="2" t="s">
        <v>2526</v>
      </c>
      <c r="BX760" s="2" t="s">
        <v>1316</v>
      </c>
      <c r="BY760" s="2" t="s">
        <v>111</v>
      </c>
    </row>
    <row r="761">
      <c r="A761" s="2" t="s">
        <v>2540</v>
      </c>
      <c r="B761" s="2" t="s">
        <v>86</v>
      </c>
      <c r="C761" s="2" t="s">
        <v>2106</v>
      </c>
      <c r="D761" s="2" t="s">
        <v>88</v>
      </c>
      <c r="E761" s="2" t="s">
        <v>1597</v>
      </c>
      <c r="F761" s="2" t="s">
        <v>1094</v>
      </c>
      <c r="G761" s="2" t="s">
        <v>1095</v>
      </c>
      <c r="H761" s="2" t="s">
        <v>1096</v>
      </c>
      <c r="I761" s="2" t="s">
        <v>2524</v>
      </c>
      <c r="J761" s="2" t="s">
        <v>809</v>
      </c>
      <c r="K761" s="2" t="s">
        <v>458</v>
      </c>
      <c r="L761" s="3">
        <v>21.5</v>
      </c>
      <c r="M761" s="3">
        <v>22.58</v>
      </c>
      <c r="N761" s="3">
        <v>49.99</v>
      </c>
      <c r="O761" s="2" t="s">
        <v>368</v>
      </c>
      <c r="P761" s="2" t="s">
        <v>215</v>
      </c>
      <c r="Q761" s="2" t="s">
        <v>97</v>
      </c>
      <c r="R761" s="2" t="s">
        <v>98</v>
      </c>
      <c r="S761" s="2" t="s">
        <v>1112</v>
      </c>
      <c r="T761" s="2" t="s">
        <v>98</v>
      </c>
      <c r="U761" s="2" t="s">
        <v>1494</v>
      </c>
      <c r="V761" s="2" t="s">
        <v>101</v>
      </c>
      <c r="W761" s="2" t="s">
        <v>335</v>
      </c>
      <c r="X761" s="2" t="s">
        <v>98</v>
      </c>
      <c r="Y761" s="2" t="s">
        <v>2525</v>
      </c>
      <c r="Z761" s="4"/>
      <c r="AA761" s="4">
        <f>=ROUNDDOWN({0},0)</f>
      </c>
      <c r="AB761" s="5"/>
      <c r="AC761" s="2" t="s">
        <v>98</v>
      </c>
      <c r="AD761" s="4"/>
      <c r="AE761" s="4"/>
      <c r="AF761" s="6">
        <v>65</v>
      </c>
      <c r="AG761" s="6"/>
      <c r="AH761" s="7">
        <v>0.3667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>
        <v>13</v>
      </c>
      <c r="AS761" s="8">
        <v>255.45</v>
      </c>
      <c r="AT761" s="7">
        <v>-1</v>
      </c>
      <c r="AU761" s="7">
        <v>-1</v>
      </c>
      <c r="AV761" s="4">
        <v>21</v>
      </c>
      <c r="AW761" s="8">
        <v>616.59</v>
      </c>
      <c r="AX761" s="4">
        <v>40</v>
      </c>
      <c r="AY761" s="8">
        <v>843.78</v>
      </c>
      <c r="AZ761" s="7">
        <v>-0.475</v>
      </c>
      <c r="BA761" s="7">
        <v>-0.2693</v>
      </c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>
        <v>0.2448</v>
      </c>
      <c r="BJ761" s="4"/>
      <c r="BK761" s="8"/>
      <c r="BL761" s="2" t="s">
        <v>2535</v>
      </c>
      <c r="BM761" s="7"/>
      <c r="BN761" s="7"/>
      <c r="BO761" s="4"/>
      <c r="BP761" s="8"/>
      <c r="BQ761" s="4">
        <v>13</v>
      </c>
      <c r="BR761" s="8">
        <v>255.45</v>
      </c>
      <c r="BS761" s="7">
        <v>-1</v>
      </c>
      <c r="BT761" s="7">
        <v>-1</v>
      </c>
      <c r="BU761" s="2" t="s">
        <v>211</v>
      </c>
      <c r="BV761" s="2" t="s">
        <v>352</v>
      </c>
      <c r="BW761" s="2" t="s">
        <v>2526</v>
      </c>
      <c r="BX761" s="2" t="s">
        <v>2541</v>
      </c>
      <c r="BY761" s="2" t="s">
        <v>354</v>
      </c>
    </row>
    <row r="762">
      <c r="A762" s="2" t="s">
        <v>2542</v>
      </c>
      <c r="B762" s="2" t="s">
        <v>86</v>
      </c>
      <c r="C762" s="2" t="s">
        <v>2106</v>
      </c>
      <c r="D762" s="2" t="s">
        <v>88</v>
      </c>
      <c r="E762" s="2" t="s">
        <v>1597</v>
      </c>
      <c r="F762" s="2" t="s">
        <v>1094</v>
      </c>
      <c r="G762" s="2" t="s">
        <v>1095</v>
      </c>
      <c r="H762" s="2" t="s">
        <v>1096</v>
      </c>
      <c r="I762" s="2" t="s">
        <v>2528</v>
      </c>
      <c r="J762" s="2" t="s">
        <v>814</v>
      </c>
      <c r="K762" s="2" t="s">
        <v>458</v>
      </c>
      <c r="L762" s="3">
        <v>23.65</v>
      </c>
      <c r="M762" s="3">
        <v>24.83</v>
      </c>
      <c r="N762" s="3">
        <v>54.99</v>
      </c>
      <c r="O762" s="2" t="s">
        <v>95</v>
      </c>
      <c r="P762" s="2" t="s">
        <v>215</v>
      </c>
      <c r="Q762" s="2" t="s">
        <v>97</v>
      </c>
      <c r="R762" s="2" t="s">
        <v>98</v>
      </c>
      <c r="S762" s="2" t="s">
        <v>1112</v>
      </c>
      <c r="T762" s="2" t="s">
        <v>878</v>
      </c>
      <c r="U762" s="2" t="s">
        <v>1494</v>
      </c>
      <c r="V762" s="2" t="s">
        <v>101</v>
      </c>
      <c r="W762" s="2" t="s">
        <v>335</v>
      </c>
      <c r="X762" s="2" t="s">
        <v>130</v>
      </c>
      <c r="Y762" s="2" t="s">
        <v>2525</v>
      </c>
      <c r="Z762" s="4">
        <v>84</v>
      </c>
      <c r="AA762" s="4">
        <f>=ROUNDDOWN(8.4,0)</f>
      </c>
      <c r="AB762" s="5">
        <v>10</v>
      </c>
      <c r="AC762" s="2" t="s">
        <v>98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19</v>
      </c>
      <c r="AQ762" s="8">
        <v>553.09</v>
      </c>
      <c r="AR762" s="4">
        <v>27</v>
      </c>
      <c r="AS762" s="8">
        <v>588.33</v>
      </c>
      <c r="AT762" s="7">
        <v>-0.2963</v>
      </c>
      <c r="AU762" s="7">
        <v>-0.0599</v>
      </c>
      <c r="AV762" s="4" t="s">
        <v>98</v>
      </c>
      <c r="AW762" s="8" t="s">
        <v>98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>
        <v>0.897</v>
      </c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 t="s">
        <v>98</v>
      </c>
      <c r="BJ762" s="4">
        <v>75</v>
      </c>
      <c r="BK762" s="8">
        <v>1976.64</v>
      </c>
      <c r="BL762" s="2" t="s">
        <v>2543</v>
      </c>
      <c r="BM762" s="7">
        <v>0.2533</v>
      </c>
      <c r="BN762" s="7">
        <v>0.2798</v>
      </c>
      <c r="BO762" s="4">
        <v>19</v>
      </c>
      <c r="BP762" s="8">
        <v>553.09</v>
      </c>
      <c r="BQ762" s="4">
        <v>27</v>
      </c>
      <c r="BR762" s="8">
        <v>588.33</v>
      </c>
      <c r="BS762" s="7">
        <v>-0.2963</v>
      </c>
      <c r="BT762" s="7">
        <v>-0.0599</v>
      </c>
      <c r="BU762" s="2" t="s">
        <v>107</v>
      </c>
      <c r="BV762" s="2" t="s">
        <v>108</v>
      </c>
      <c r="BW762" s="2" t="s">
        <v>2526</v>
      </c>
      <c r="BX762" s="2" t="s">
        <v>2544</v>
      </c>
      <c r="BY762" s="2" t="s">
        <v>111</v>
      </c>
    </row>
    <row r="763">
      <c r="A763" s="2" t="s">
        <v>2545</v>
      </c>
      <c r="B763" s="2" t="s">
        <v>86</v>
      </c>
      <c r="C763" s="2" t="s">
        <v>2106</v>
      </c>
      <c r="D763" s="2" t="s">
        <v>88</v>
      </c>
      <c r="E763" s="2" t="s">
        <v>1597</v>
      </c>
      <c r="F763" s="2" t="s">
        <v>1094</v>
      </c>
      <c r="G763" s="2" t="s">
        <v>1095</v>
      </c>
      <c r="H763" s="2" t="s">
        <v>1096</v>
      </c>
      <c r="I763" s="2" t="s">
        <v>2528</v>
      </c>
      <c r="J763" s="2" t="s">
        <v>1513</v>
      </c>
      <c r="K763" s="2" t="s">
        <v>458</v>
      </c>
      <c r="L763" s="3">
        <v>25.8</v>
      </c>
      <c r="M763" s="3">
        <v>27.09</v>
      </c>
      <c r="N763" s="3">
        <v>59.99</v>
      </c>
      <c r="O763" s="2" t="s">
        <v>95</v>
      </c>
      <c r="P763" s="2" t="s">
        <v>215</v>
      </c>
      <c r="Q763" s="2" t="s">
        <v>97</v>
      </c>
      <c r="R763" s="2" t="s">
        <v>98</v>
      </c>
      <c r="S763" s="2" t="s">
        <v>1112</v>
      </c>
      <c r="T763" s="2" t="s">
        <v>878</v>
      </c>
      <c r="U763" s="2" t="s">
        <v>1494</v>
      </c>
      <c r="V763" s="2" t="s">
        <v>101</v>
      </c>
      <c r="W763" s="2" t="s">
        <v>335</v>
      </c>
      <c r="X763" s="2" t="s">
        <v>130</v>
      </c>
      <c r="Y763" s="2" t="s">
        <v>2525</v>
      </c>
      <c r="Z763" s="4">
        <v>204</v>
      </c>
      <c r="AA763" s="4">
        <f>=ROUNDDOWN(51,0)</f>
      </c>
      <c r="AB763" s="5">
        <v>4</v>
      </c>
      <c r="AC763" s="2" t="s">
        <v>98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2</v>
      </c>
      <c r="AQ763" s="8">
        <v>63.5</v>
      </c>
      <c r="AR763" s="4"/>
      <c r="AS763" s="8"/>
      <c r="AT763" s="7"/>
      <c r="AU763" s="7"/>
      <c r="AV763" s="4" t="s">
        <v>98</v>
      </c>
      <c r="AW763" s="8" t="s">
        <v>98</v>
      </c>
      <c r="AX763" s="4" t="s">
        <v>98</v>
      </c>
      <c r="AY763" s="8" t="s">
        <v>98</v>
      </c>
      <c r="AZ763" s="7" t="s">
        <v>98</v>
      </c>
      <c r="BA763" s="7" t="s">
        <v>98</v>
      </c>
      <c r="BB763" s="7">
        <v>0.103</v>
      </c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 t="s">
        <v>98</v>
      </c>
      <c r="BJ763" s="4">
        <v>56</v>
      </c>
      <c r="BK763" s="8">
        <v>1568.22</v>
      </c>
      <c r="BL763" s="2" t="s">
        <v>2546</v>
      </c>
      <c r="BM763" s="7">
        <v>0.0357</v>
      </c>
      <c r="BN763" s="7">
        <v>0.0405</v>
      </c>
      <c r="BO763" s="4">
        <v>2</v>
      </c>
      <c r="BP763" s="8">
        <v>63.5</v>
      </c>
      <c r="BQ763" s="4"/>
      <c r="BR763" s="8"/>
      <c r="BS763" s="7"/>
      <c r="BT763" s="7"/>
      <c r="BU763" s="2" t="s">
        <v>107</v>
      </c>
      <c r="BV763" s="2" t="s">
        <v>108</v>
      </c>
      <c r="BW763" s="2" t="s">
        <v>2526</v>
      </c>
      <c r="BX763" s="2" t="s">
        <v>2547</v>
      </c>
      <c r="BY763" s="2" t="s">
        <v>111</v>
      </c>
    </row>
    <row r="764">
      <c r="A764" s="2" t="s">
        <v>2548</v>
      </c>
      <c r="B764" s="2" t="s">
        <v>86</v>
      </c>
      <c r="C764" s="2" t="s">
        <v>2106</v>
      </c>
      <c r="D764" s="2" t="s">
        <v>88</v>
      </c>
      <c r="E764" s="2" t="s">
        <v>1597</v>
      </c>
      <c r="F764" s="2" t="s">
        <v>1094</v>
      </c>
      <c r="G764" s="2" t="s">
        <v>1095</v>
      </c>
      <c r="H764" s="2" t="s">
        <v>1096</v>
      </c>
      <c r="I764" s="2" t="s">
        <v>2528</v>
      </c>
      <c r="J764" s="2" t="s">
        <v>814</v>
      </c>
      <c r="K764" s="2" t="s">
        <v>464</v>
      </c>
      <c r="L764" s="3">
        <v>23.65</v>
      </c>
      <c r="M764" s="3">
        <v>24.83</v>
      </c>
      <c r="N764" s="3">
        <v>54.99</v>
      </c>
      <c r="O764" s="2" t="s">
        <v>95</v>
      </c>
      <c r="P764" s="2" t="s">
        <v>215</v>
      </c>
      <c r="Q764" s="2" t="s">
        <v>97</v>
      </c>
      <c r="R764" s="2" t="s">
        <v>98</v>
      </c>
      <c r="S764" s="2" t="s">
        <v>1125</v>
      </c>
      <c r="T764" s="2" t="s">
        <v>878</v>
      </c>
      <c r="U764" s="2" t="s">
        <v>1494</v>
      </c>
      <c r="V764" s="2" t="s">
        <v>101</v>
      </c>
      <c r="W764" s="2" t="s">
        <v>335</v>
      </c>
      <c r="X764" s="2" t="s">
        <v>130</v>
      </c>
      <c r="Y764" s="2" t="s">
        <v>2194</v>
      </c>
      <c r="Z764" s="4">
        <v>116</v>
      </c>
      <c r="AA764" s="4">
        <f>=ROUNDDOWN(21.4814814814815,0)</f>
      </c>
      <c r="AB764" s="5">
        <v>5.4</v>
      </c>
      <c r="AC764" s="2" t="s">
        <v>98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7</v>
      </c>
      <c r="AQ764" s="8">
        <v>187.74</v>
      </c>
      <c r="AR764" s="4"/>
      <c r="AS764" s="8"/>
      <c r="AT764" s="7"/>
      <c r="AU764" s="7"/>
      <c r="AV764" s="4">
        <v>8</v>
      </c>
      <c r="AW764" s="8">
        <v>217</v>
      </c>
      <c r="AX764" s="4" t="s">
        <v>98</v>
      </c>
      <c r="AY764" s="8" t="s">
        <v>98</v>
      </c>
      <c r="AZ764" s="7" t="s">
        <v>98</v>
      </c>
      <c r="BA764" s="7" t="s">
        <v>98</v>
      </c>
      <c r="BB764" s="7">
        <v>0.8652</v>
      </c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>
        <v>0.0861</v>
      </c>
      <c r="BJ764" s="4">
        <v>81</v>
      </c>
      <c r="BK764" s="8">
        <v>2039.19</v>
      </c>
      <c r="BL764" s="2" t="s">
        <v>2549</v>
      </c>
      <c r="BM764" s="7">
        <v>0.0864</v>
      </c>
      <c r="BN764" s="7">
        <v>0.0921</v>
      </c>
      <c r="BO764" s="4">
        <v>7</v>
      </c>
      <c r="BP764" s="8">
        <v>187.74</v>
      </c>
      <c r="BQ764" s="4"/>
      <c r="BR764" s="8"/>
      <c r="BS764" s="7"/>
      <c r="BT764" s="7"/>
      <c r="BU764" s="2" t="s">
        <v>107</v>
      </c>
      <c r="BV764" s="2" t="s">
        <v>108</v>
      </c>
      <c r="BW764" s="2" t="s">
        <v>2185</v>
      </c>
      <c r="BX764" s="2" t="s">
        <v>2550</v>
      </c>
      <c r="BY764" s="2" t="s">
        <v>111</v>
      </c>
    </row>
    <row r="765">
      <c r="A765" s="2" t="s">
        <v>2551</v>
      </c>
      <c r="B765" s="2" t="s">
        <v>86</v>
      </c>
      <c r="C765" s="2" t="s">
        <v>2106</v>
      </c>
      <c r="D765" s="2" t="s">
        <v>88</v>
      </c>
      <c r="E765" s="2" t="s">
        <v>1597</v>
      </c>
      <c r="F765" s="2" t="s">
        <v>1094</v>
      </c>
      <c r="G765" s="2" t="s">
        <v>1095</v>
      </c>
      <c r="H765" s="2" t="s">
        <v>1096</v>
      </c>
      <c r="I765" s="2" t="s">
        <v>2528</v>
      </c>
      <c r="J765" s="2" t="s">
        <v>1513</v>
      </c>
      <c r="K765" s="2" t="s">
        <v>464</v>
      </c>
      <c r="L765" s="3">
        <v>25.8</v>
      </c>
      <c r="M765" s="3">
        <v>27.09</v>
      </c>
      <c r="N765" s="3">
        <v>59.99</v>
      </c>
      <c r="O765" s="2" t="s">
        <v>95</v>
      </c>
      <c r="P765" s="2" t="s">
        <v>215</v>
      </c>
      <c r="Q765" s="2" t="s">
        <v>97</v>
      </c>
      <c r="R765" s="2" t="s">
        <v>98</v>
      </c>
      <c r="S765" s="2" t="s">
        <v>1125</v>
      </c>
      <c r="T765" s="2" t="s">
        <v>878</v>
      </c>
      <c r="U765" s="2" t="s">
        <v>1494</v>
      </c>
      <c r="V765" s="2" t="s">
        <v>101</v>
      </c>
      <c r="W765" s="2" t="s">
        <v>335</v>
      </c>
      <c r="X765" s="2" t="s">
        <v>130</v>
      </c>
      <c r="Y765" s="2" t="s">
        <v>2194</v>
      </c>
      <c r="Z765" s="4">
        <v>101</v>
      </c>
      <c r="AA765" s="4">
        <f>=ROUNDDOWN(19.8039215686275,0)</f>
      </c>
      <c r="AB765" s="5">
        <v>5.1</v>
      </c>
      <c r="AC765" s="2" t="s">
        <v>98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/>
      <c r="AP765" s="4">
        <v>1</v>
      </c>
      <c r="AQ765" s="8">
        <v>29.26</v>
      </c>
      <c r="AR765" s="4"/>
      <c r="AS765" s="8"/>
      <c r="AT765" s="7"/>
      <c r="AU765" s="7"/>
      <c r="AV765" s="4" t="s">
        <v>98</v>
      </c>
      <c r="AW765" s="8" t="s">
        <v>98</v>
      </c>
      <c r="AX765" s="4" t="s">
        <v>98</v>
      </c>
      <c r="AY765" s="8" t="s">
        <v>98</v>
      </c>
      <c r="AZ765" s="7" t="s">
        <v>98</v>
      </c>
      <c r="BA765" s="7" t="s">
        <v>98</v>
      </c>
      <c r="BB765" s="7">
        <v>0.1348</v>
      </c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 t="s">
        <v>98</v>
      </c>
      <c r="BJ765" s="4">
        <v>63</v>
      </c>
      <c r="BK765" s="8">
        <v>1788.92</v>
      </c>
      <c r="BL765" s="2" t="s">
        <v>2552</v>
      </c>
      <c r="BM765" s="7">
        <v>0.0159</v>
      </c>
      <c r="BN765" s="7">
        <v>0.0164</v>
      </c>
      <c r="BO765" s="4">
        <v>1</v>
      </c>
      <c r="BP765" s="8">
        <v>29.26</v>
      </c>
      <c r="BQ765" s="4"/>
      <c r="BR765" s="8"/>
      <c r="BS765" s="7"/>
      <c r="BT765" s="7"/>
      <c r="BU765" s="2" t="s">
        <v>107</v>
      </c>
      <c r="BV765" s="2" t="s">
        <v>108</v>
      </c>
      <c r="BW765" s="2" t="s">
        <v>2185</v>
      </c>
      <c r="BX765" s="2" t="s">
        <v>2299</v>
      </c>
      <c r="BY765" s="2" t="s">
        <v>111</v>
      </c>
    </row>
    <row r="766">
      <c r="A766" s="2" t="s">
        <v>2553</v>
      </c>
      <c r="B766" s="2" t="s">
        <v>86</v>
      </c>
      <c r="C766" s="2" t="s">
        <v>2106</v>
      </c>
      <c r="D766" s="2" t="s">
        <v>88</v>
      </c>
      <c r="E766" s="2" t="s">
        <v>1597</v>
      </c>
      <c r="F766" s="2" t="s">
        <v>1094</v>
      </c>
      <c r="G766" s="2" t="s">
        <v>1095</v>
      </c>
      <c r="H766" s="2" t="s">
        <v>1096</v>
      </c>
      <c r="I766" s="2" t="s">
        <v>2528</v>
      </c>
      <c r="J766" s="2" t="s">
        <v>814</v>
      </c>
      <c r="K766" s="2" t="s">
        <v>323</v>
      </c>
      <c r="L766" s="3">
        <v>23.65</v>
      </c>
      <c r="M766" s="3">
        <v>24.83</v>
      </c>
      <c r="N766" s="3">
        <v>54.99</v>
      </c>
      <c r="O766" s="2" t="s">
        <v>241</v>
      </c>
      <c r="P766" s="2" t="s">
        <v>215</v>
      </c>
      <c r="Q766" s="2" t="s">
        <v>97</v>
      </c>
      <c r="R766" s="2" t="s">
        <v>98</v>
      </c>
      <c r="S766" s="2" t="s">
        <v>1138</v>
      </c>
      <c r="T766" s="2" t="s">
        <v>878</v>
      </c>
      <c r="U766" s="2" t="s">
        <v>1494</v>
      </c>
      <c r="V766" s="2" t="s">
        <v>101</v>
      </c>
      <c r="W766" s="2" t="s">
        <v>335</v>
      </c>
      <c r="X766" s="2" t="s">
        <v>98</v>
      </c>
      <c r="Y766" s="2" t="s">
        <v>2554</v>
      </c>
      <c r="Z766" s="4"/>
      <c r="AA766" s="4">
        <f>=ROUNDDOWN({0},0)</f>
      </c>
      <c r="AB766" s="5">
        <v>2</v>
      </c>
      <c r="AC766" s="2" t="s">
        <v>98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2</v>
      </c>
      <c r="AQ766" s="8">
        <v>58.22</v>
      </c>
      <c r="AR766" s="4"/>
      <c r="AS766" s="8"/>
      <c r="AT766" s="7"/>
      <c r="AU766" s="7"/>
      <c r="AV766" s="4">
        <v>2</v>
      </c>
      <c r="AW766" s="8">
        <v>58.22</v>
      </c>
      <c r="AX766" s="4" t="s">
        <v>98</v>
      </c>
      <c r="AY766" s="8" t="s">
        <v>98</v>
      </c>
      <c r="AZ766" s="7" t="s">
        <v>98</v>
      </c>
      <c r="BA766" s="7" t="s">
        <v>98</v>
      </c>
      <c r="BB766" s="7">
        <v>1</v>
      </c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>
        <v>0.0231</v>
      </c>
      <c r="BJ766" s="4">
        <v>35</v>
      </c>
      <c r="BK766" s="8">
        <v>900.07</v>
      </c>
      <c r="BL766" s="2" t="s">
        <v>864</v>
      </c>
      <c r="BM766" s="7">
        <v>0.0571</v>
      </c>
      <c r="BN766" s="7">
        <v>0.0647</v>
      </c>
      <c r="BO766" s="4">
        <v>2</v>
      </c>
      <c r="BP766" s="8">
        <v>58.22</v>
      </c>
      <c r="BQ766" s="4"/>
      <c r="BR766" s="8"/>
      <c r="BS766" s="7"/>
      <c r="BT766" s="7"/>
      <c r="BU766" s="2" t="s">
        <v>107</v>
      </c>
      <c r="BV766" s="2" t="s">
        <v>352</v>
      </c>
      <c r="BW766" s="2" t="s">
        <v>171</v>
      </c>
      <c r="BX766" s="2" t="s">
        <v>2555</v>
      </c>
      <c r="BY766" s="2" t="s">
        <v>111</v>
      </c>
    </row>
    <row r="767">
      <c r="A767" s="2" t="s">
        <v>2556</v>
      </c>
      <c r="B767" s="2" t="s">
        <v>86</v>
      </c>
      <c r="C767" s="2" t="s">
        <v>2106</v>
      </c>
      <c r="D767" s="2" t="s">
        <v>88</v>
      </c>
      <c r="E767" s="2" t="s">
        <v>1597</v>
      </c>
      <c r="F767" s="2" t="s">
        <v>1094</v>
      </c>
      <c r="G767" s="2" t="s">
        <v>1095</v>
      </c>
      <c r="H767" s="2" t="s">
        <v>1096</v>
      </c>
      <c r="I767" s="2" t="s">
        <v>2528</v>
      </c>
      <c r="J767" s="2" t="s">
        <v>1513</v>
      </c>
      <c r="K767" s="2" t="s">
        <v>323</v>
      </c>
      <c r="L767" s="3">
        <v>25.8</v>
      </c>
      <c r="M767" s="3">
        <v>27.09</v>
      </c>
      <c r="N767" s="3">
        <v>59.99</v>
      </c>
      <c r="O767" s="2" t="s">
        <v>95</v>
      </c>
      <c r="P767" s="2" t="s">
        <v>215</v>
      </c>
      <c r="Q767" s="2" t="s">
        <v>97</v>
      </c>
      <c r="R767" s="2" t="s">
        <v>98</v>
      </c>
      <c r="S767" s="2" t="s">
        <v>1138</v>
      </c>
      <c r="T767" s="2" t="s">
        <v>878</v>
      </c>
      <c r="U767" s="2" t="s">
        <v>1494</v>
      </c>
      <c r="V767" s="2" t="s">
        <v>101</v>
      </c>
      <c r="W767" s="2" t="s">
        <v>335</v>
      </c>
      <c r="X767" s="2" t="s">
        <v>98</v>
      </c>
      <c r="Y767" s="2" t="s">
        <v>2554</v>
      </c>
      <c r="Z767" s="4">
        <v>78</v>
      </c>
      <c r="AA767" s="4">
        <f>=ROUNDDOWN(13.9285714285714,0)</f>
      </c>
      <c r="AB767" s="5">
        <v>5.6</v>
      </c>
      <c r="AC767" s="2" t="s">
        <v>98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98</v>
      </c>
      <c r="AW767" s="8" t="s">
        <v>98</v>
      </c>
      <c r="AX767" s="4" t="s">
        <v>98</v>
      </c>
      <c r="AY767" s="8" t="s">
        <v>98</v>
      </c>
      <c r="AZ767" s="7" t="s">
        <v>98</v>
      </c>
      <c r="BA767" s="7" t="s">
        <v>98</v>
      </c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 t="s">
        <v>98</v>
      </c>
      <c r="BJ767" s="4">
        <v>9</v>
      </c>
      <c r="BK767" s="8">
        <v>253.76</v>
      </c>
      <c r="BL767" s="2" t="s">
        <v>2557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108</v>
      </c>
      <c r="BW767" s="2" t="s">
        <v>171</v>
      </c>
      <c r="BX767" s="2" t="s">
        <v>2558</v>
      </c>
      <c r="BY767" s="2" t="s">
        <v>111</v>
      </c>
    </row>
    <row r="768">
      <c r="A768" s="2" t="s">
        <v>2559</v>
      </c>
      <c r="B768" s="2" t="s">
        <v>86</v>
      </c>
      <c r="C768" s="2" t="s">
        <v>2106</v>
      </c>
      <c r="D768" s="2" t="s">
        <v>88</v>
      </c>
      <c r="E768" s="2" t="s">
        <v>1597</v>
      </c>
      <c r="F768" s="2" t="s">
        <v>2560</v>
      </c>
      <c r="G768" s="2" t="s">
        <v>2561</v>
      </c>
      <c r="H768" s="2" t="s">
        <v>2562</v>
      </c>
      <c r="I768" s="2" t="s">
        <v>2563</v>
      </c>
      <c r="J768" s="2" t="s">
        <v>809</v>
      </c>
      <c r="K768" s="2" t="s">
        <v>460</v>
      </c>
      <c r="L768" s="3">
        <v>12.37</v>
      </c>
      <c r="M768" s="3">
        <v>12.99</v>
      </c>
      <c r="N768" s="3">
        <v>29.99</v>
      </c>
      <c r="O768" s="2" t="s">
        <v>95</v>
      </c>
      <c r="P768" s="2" t="s">
        <v>465</v>
      </c>
      <c r="Q768" s="2" t="s">
        <v>97</v>
      </c>
      <c r="R768" s="2" t="s">
        <v>98</v>
      </c>
      <c r="S768" s="2" t="s">
        <v>2564</v>
      </c>
      <c r="T768" s="2" t="s">
        <v>878</v>
      </c>
      <c r="U768" s="2" t="s">
        <v>1494</v>
      </c>
      <c r="V768" s="2" t="s">
        <v>101</v>
      </c>
      <c r="W768" s="2" t="s">
        <v>335</v>
      </c>
      <c r="X768" s="2" t="s">
        <v>98</v>
      </c>
      <c r="Y768" s="2" t="s">
        <v>2565</v>
      </c>
      <c r="Z768" s="4">
        <v>128</v>
      </c>
      <c r="AA768" s="4">
        <f>=ROUNDDOWN(5.12,0)</f>
      </c>
      <c r="AB768" s="5">
        <v>25</v>
      </c>
      <c r="AC768" s="2" t="s">
        <v>98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7</v>
      </c>
      <c r="AQ768" s="8">
        <v>79.87</v>
      </c>
      <c r="AR768" s="4">
        <v>34</v>
      </c>
      <c r="AS768" s="8">
        <v>357</v>
      </c>
      <c r="AT768" s="7">
        <v>-0.7941</v>
      </c>
      <c r="AU768" s="7">
        <v>-0.7763</v>
      </c>
      <c r="AV768" s="4">
        <v>45</v>
      </c>
      <c r="AW768" s="8">
        <v>598.03</v>
      </c>
      <c r="AX768" s="4">
        <v>103</v>
      </c>
      <c r="AY768" s="8">
        <v>1212.5</v>
      </c>
      <c r="AZ768" s="7">
        <v>-0.5631</v>
      </c>
      <c r="BA768" s="7">
        <v>-0.5068</v>
      </c>
      <c r="BB768" s="7">
        <v>0.1336</v>
      </c>
      <c r="BC768" s="4">
        <v>105</v>
      </c>
      <c r="BD768" s="8">
        <v>1351.72</v>
      </c>
      <c r="BE768" s="4">
        <v>436</v>
      </c>
      <c r="BF768" s="8">
        <v>5216.98</v>
      </c>
      <c r="BG768" s="7">
        <v>-0.7592</v>
      </c>
      <c r="BH768" s="7">
        <v>-0.7409</v>
      </c>
      <c r="BI768" s="7">
        <v>0.4424</v>
      </c>
      <c r="BJ768" s="4">
        <v>150</v>
      </c>
      <c r="BK768" s="8">
        <v>1692.17</v>
      </c>
      <c r="BL768" s="2" t="s">
        <v>2566</v>
      </c>
      <c r="BM768" s="7">
        <v>0.0467</v>
      </c>
      <c r="BN768" s="7">
        <v>0.0472</v>
      </c>
      <c r="BO768" s="4">
        <v>7</v>
      </c>
      <c r="BP768" s="8">
        <v>79.87</v>
      </c>
      <c r="BQ768" s="4">
        <v>34</v>
      </c>
      <c r="BR768" s="8">
        <v>357</v>
      </c>
      <c r="BS768" s="7">
        <v>-0.7941</v>
      </c>
      <c r="BT768" s="7">
        <v>-0.7763</v>
      </c>
      <c r="BU768" s="2" t="s">
        <v>211</v>
      </c>
      <c r="BV768" s="2" t="s">
        <v>95</v>
      </c>
      <c r="BW768" s="2" t="s">
        <v>801</v>
      </c>
      <c r="BX768" s="2" t="s">
        <v>802</v>
      </c>
      <c r="BY768" s="2" t="s">
        <v>354</v>
      </c>
    </row>
    <row r="769">
      <c r="A769" s="2" t="s">
        <v>2567</v>
      </c>
      <c r="B769" s="2" t="s">
        <v>86</v>
      </c>
      <c r="C769" s="2" t="s">
        <v>2106</v>
      </c>
      <c r="D769" s="2" t="s">
        <v>88</v>
      </c>
      <c r="E769" s="2" t="s">
        <v>1597</v>
      </c>
      <c r="F769" s="2" t="s">
        <v>2560</v>
      </c>
      <c r="G769" s="2" t="s">
        <v>2561</v>
      </c>
      <c r="H769" s="2" t="s">
        <v>2562</v>
      </c>
      <c r="I769" s="2" t="s">
        <v>2563</v>
      </c>
      <c r="J769" s="2" t="s">
        <v>814</v>
      </c>
      <c r="K769" s="2" t="s">
        <v>460</v>
      </c>
      <c r="L769" s="3">
        <v>14.19</v>
      </c>
      <c r="M769" s="3">
        <v>14.9</v>
      </c>
      <c r="N769" s="3">
        <v>34.99</v>
      </c>
      <c r="O769" s="2" t="s">
        <v>95</v>
      </c>
      <c r="P769" s="2" t="s">
        <v>465</v>
      </c>
      <c r="Q769" s="2" t="s">
        <v>97</v>
      </c>
      <c r="R769" s="2" t="s">
        <v>98</v>
      </c>
      <c r="S769" s="2" t="s">
        <v>2564</v>
      </c>
      <c r="T769" s="2" t="s">
        <v>878</v>
      </c>
      <c r="U769" s="2" t="s">
        <v>1494</v>
      </c>
      <c r="V769" s="2" t="s">
        <v>101</v>
      </c>
      <c r="W769" s="2" t="s">
        <v>335</v>
      </c>
      <c r="X769" s="2" t="s">
        <v>98</v>
      </c>
      <c r="Y769" s="2" t="s">
        <v>2565</v>
      </c>
      <c r="Z769" s="4">
        <v>6</v>
      </c>
      <c r="AA769" s="4">
        <f>=ROUNDDOWN(0.260869565217391,0)</f>
      </c>
      <c r="AB769" s="5">
        <v>23</v>
      </c>
      <c r="AC769" s="2" t="s">
        <v>98</v>
      </c>
      <c r="AD769" s="4"/>
      <c r="AE769" s="4"/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22</v>
      </c>
      <c r="AQ769" s="8">
        <v>286</v>
      </c>
      <c r="AR769" s="4">
        <v>55</v>
      </c>
      <c r="AS769" s="8">
        <v>664.4</v>
      </c>
      <c r="AT769" s="7">
        <v>-0.6</v>
      </c>
      <c r="AU769" s="7">
        <v>-0.5695</v>
      </c>
      <c r="AV769" s="4" t="s">
        <v>98</v>
      </c>
      <c r="AW769" s="8" t="s">
        <v>98</v>
      </c>
      <c r="AX769" s="4" t="s">
        <v>98</v>
      </c>
      <c r="AY769" s="8" t="s">
        <v>98</v>
      </c>
      <c r="AZ769" s="7" t="s">
        <v>98</v>
      </c>
      <c r="BA769" s="7" t="s">
        <v>98</v>
      </c>
      <c r="BB769" s="7">
        <v>0.4782</v>
      </c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 t="s">
        <v>98</v>
      </c>
      <c r="BJ769" s="4">
        <v>221</v>
      </c>
      <c r="BK769" s="8">
        <v>2778.76</v>
      </c>
      <c r="BL769" s="2" t="s">
        <v>2546</v>
      </c>
      <c r="BM769" s="7">
        <v>0.0995</v>
      </c>
      <c r="BN769" s="7">
        <v>0.1029</v>
      </c>
      <c r="BO769" s="4">
        <v>22</v>
      </c>
      <c r="BP769" s="8">
        <v>286</v>
      </c>
      <c r="BQ769" s="4">
        <v>55</v>
      </c>
      <c r="BR769" s="8">
        <v>664.4</v>
      </c>
      <c r="BS769" s="7">
        <v>-0.6</v>
      </c>
      <c r="BT769" s="7">
        <v>-0.5695</v>
      </c>
      <c r="BU769" s="2" t="s">
        <v>211</v>
      </c>
      <c r="BV769" s="2" t="s">
        <v>95</v>
      </c>
      <c r="BW769" s="2" t="s">
        <v>801</v>
      </c>
      <c r="BX769" s="2" t="s">
        <v>2568</v>
      </c>
      <c r="BY769" s="2" t="s">
        <v>354</v>
      </c>
    </row>
    <row r="770">
      <c r="A770" s="2" t="s">
        <v>2569</v>
      </c>
      <c r="B770" s="2" t="s">
        <v>86</v>
      </c>
      <c r="C770" s="2" t="s">
        <v>2106</v>
      </c>
      <c r="D770" s="2" t="s">
        <v>88</v>
      </c>
      <c r="E770" s="2" t="s">
        <v>1597</v>
      </c>
      <c r="F770" s="2" t="s">
        <v>2560</v>
      </c>
      <c r="G770" s="2" t="s">
        <v>2561</v>
      </c>
      <c r="H770" s="2" t="s">
        <v>2562</v>
      </c>
      <c r="I770" s="2" t="s">
        <v>2563</v>
      </c>
      <c r="J770" s="2" t="s">
        <v>1513</v>
      </c>
      <c r="K770" s="2" t="s">
        <v>460</v>
      </c>
      <c r="L770" s="3">
        <v>16.17</v>
      </c>
      <c r="M770" s="3">
        <v>16.98</v>
      </c>
      <c r="N770" s="3">
        <v>39.99</v>
      </c>
      <c r="O770" s="2" t="s">
        <v>368</v>
      </c>
      <c r="P770" s="2" t="s">
        <v>465</v>
      </c>
      <c r="Q770" s="2" t="s">
        <v>97</v>
      </c>
      <c r="R770" s="2" t="s">
        <v>98</v>
      </c>
      <c r="S770" s="2" t="s">
        <v>2564</v>
      </c>
      <c r="T770" s="2" t="s">
        <v>878</v>
      </c>
      <c r="U770" s="2" t="s">
        <v>1494</v>
      </c>
      <c r="V770" s="2" t="s">
        <v>101</v>
      </c>
      <c r="W770" s="2" t="s">
        <v>335</v>
      </c>
      <c r="X770" s="2" t="s">
        <v>98</v>
      </c>
      <c r="Y770" s="2" t="s">
        <v>2565</v>
      </c>
      <c r="Z770" s="4">
        <v>1</v>
      </c>
      <c r="AA770" s="4">
        <f>=ROUNDDOWN(0.125,0)</f>
      </c>
      <c r="AB770" s="5">
        <v>8</v>
      </c>
      <c r="AC770" s="2" t="s">
        <v>98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16</v>
      </c>
      <c r="AQ770" s="8">
        <v>232.16</v>
      </c>
      <c r="AR770" s="4">
        <v>14</v>
      </c>
      <c r="AS770" s="8">
        <v>191.1</v>
      </c>
      <c r="AT770" s="7">
        <v>0.1429</v>
      </c>
      <c r="AU770" s="7">
        <v>0.2149</v>
      </c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>
        <v>0.3882</v>
      </c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 t="s">
        <v>98</v>
      </c>
      <c r="BJ770" s="4">
        <v>83</v>
      </c>
      <c r="BK770" s="8">
        <v>1208.12</v>
      </c>
      <c r="BL770" s="2" t="s">
        <v>2225</v>
      </c>
      <c r="BM770" s="7">
        <v>0.1928</v>
      </c>
      <c r="BN770" s="7">
        <v>0.1922</v>
      </c>
      <c r="BO770" s="4">
        <v>16</v>
      </c>
      <c r="BP770" s="8">
        <v>232.16</v>
      </c>
      <c r="BQ770" s="4">
        <v>14</v>
      </c>
      <c r="BR770" s="8">
        <v>191.1</v>
      </c>
      <c r="BS770" s="7">
        <v>0.1429</v>
      </c>
      <c r="BT770" s="7">
        <v>0.2149</v>
      </c>
      <c r="BU770" s="2" t="s">
        <v>211</v>
      </c>
      <c r="BV770" s="2" t="s">
        <v>352</v>
      </c>
      <c r="BW770" s="2" t="s">
        <v>801</v>
      </c>
      <c r="BX770" s="2" t="s">
        <v>802</v>
      </c>
      <c r="BY770" s="2" t="s">
        <v>354</v>
      </c>
    </row>
    <row r="771">
      <c r="A771" s="2" t="s">
        <v>2570</v>
      </c>
      <c r="B771" s="2" t="s">
        <v>86</v>
      </c>
      <c r="C771" s="2" t="s">
        <v>2106</v>
      </c>
      <c r="D771" s="2" t="s">
        <v>88</v>
      </c>
      <c r="E771" s="2" t="s">
        <v>1597</v>
      </c>
      <c r="F771" s="2" t="s">
        <v>2560</v>
      </c>
      <c r="G771" s="2" t="s">
        <v>2561</v>
      </c>
      <c r="H771" s="2" t="s">
        <v>2562</v>
      </c>
      <c r="I771" s="2" t="s">
        <v>2563</v>
      </c>
      <c r="J771" s="2" t="s">
        <v>809</v>
      </c>
      <c r="K771" s="2" t="s">
        <v>299</v>
      </c>
      <c r="L771" s="3">
        <v>12.37</v>
      </c>
      <c r="M771" s="3">
        <v>12.99</v>
      </c>
      <c r="N771" s="3">
        <v>29.99</v>
      </c>
      <c r="O771" s="2" t="s">
        <v>95</v>
      </c>
      <c r="P771" s="2" t="s">
        <v>465</v>
      </c>
      <c r="Q771" s="2" t="s">
        <v>97</v>
      </c>
      <c r="R771" s="2" t="s">
        <v>98</v>
      </c>
      <c r="S771" s="2" t="s">
        <v>2571</v>
      </c>
      <c r="T771" s="2" t="s">
        <v>878</v>
      </c>
      <c r="U771" s="2" t="s">
        <v>1494</v>
      </c>
      <c r="V771" s="2" t="s">
        <v>101</v>
      </c>
      <c r="W771" s="2" t="s">
        <v>335</v>
      </c>
      <c r="X771" s="2" t="s">
        <v>98</v>
      </c>
      <c r="Y771" s="2" t="s">
        <v>2565</v>
      </c>
      <c r="Z771" s="4">
        <v>278</v>
      </c>
      <c r="AA771" s="4">
        <f>=ROUNDDOWN(9.26666666666667,0)</f>
      </c>
      <c r="AB771" s="5">
        <v>30</v>
      </c>
      <c r="AC771" s="2" t="s">
        <v>98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20</v>
      </c>
      <c r="AQ771" s="8">
        <v>228.2</v>
      </c>
      <c r="AR771" s="4">
        <v>61</v>
      </c>
      <c r="AS771" s="8">
        <v>640.5</v>
      </c>
      <c r="AT771" s="7">
        <v>-0.6721</v>
      </c>
      <c r="AU771" s="7">
        <v>-0.6437</v>
      </c>
      <c r="AV771" s="4">
        <v>42</v>
      </c>
      <c r="AW771" s="8">
        <v>521.75</v>
      </c>
      <c r="AX771" s="4">
        <v>186</v>
      </c>
      <c r="AY771" s="8">
        <v>2207.02</v>
      </c>
      <c r="AZ771" s="7">
        <v>-0.7742</v>
      </c>
      <c r="BA771" s="7">
        <v>-0.7636</v>
      </c>
      <c r="BB771" s="7">
        <v>0.4374</v>
      </c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0.386</v>
      </c>
      <c r="BJ771" s="4">
        <v>82</v>
      </c>
      <c r="BK771" s="8">
        <v>953.64</v>
      </c>
      <c r="BL771" s="2" t="s">
        <v>2566</v>
      </c>
      <c r="BM771" s="7">
        <v>0.2439</v>
      </c>
      <c r="BN771" s="7">
        <v>0.2393</v>
      </c>
      <c r="BO771" s="4">
        <v>20</v>
      </c>
      <c r="BP771" s="8">
        <v>228.2</v>
      </c>
      <c r="BQ771" s="4">
        <v>61</v>
      </c>
      <c r="BR771" s="8">
        <v>640.5</v>
      </c>
      <c r="BS771" s="7">
        <v>-0.6721</v>
      </c>
      <c r="BT771" s="7">
        <v>-0.6437</v>
      </c>
      <c r="BU771" s="2" t="s">
        <v>211</v>
      </c>
      <c r="BV771" s="2" t="s">
        <v>95</v>
      </c>
      <c r="BW771" s="2" t="s">
        <v>801</v>
      </c>
      <c r="BX771" s="2" t="s">
        <v>2572</v>
      </c>
      <c r="BY771" s="2" t="s">
        <v>354</v>
      </c>
    </row>
    <row r="772">
      <c r="A772" s="2" t="s">
        <v>2573</v>
      </c>
      <c r="B772" s="2" t="s">
        <v>86</v>
      </c>
      <c r="C772" s="2" t="s">
        <v>2106</v>
      </c>
      <c r="D772" s="2" t="s">
        <v>88</v>
      </c>
      <c r="E772" s="2" t="s">
        <v>1597</v>
      </c>
      <c r="F772" s="2" t="s">
        <v>2560</v>
      </c>
      <c r="G772" s="2" t="s">
        <v>2561</v>
      </c>
      <c r="H772" s="2" t="s">
        <v>2562</v>
      </c>
      <c r="I772" s="2" t="s">
        <v>2563</v>
      </c>
      <c r="J772" s="2" t="s">
        <v>814</v>
      </c>
      <c r="K772" s="2" t="s">
        <v>299</v>
      </c>
      <c r="L772" s="3">
        <v>14.19</v>
      </c>
      <c r="M772" s="3">
        <v>14.9</v>
      </c>
      <c r="N772" s="3">
        <v>34.99</v>
      </c>
      <c r="O772" s="2" t="s">
        <v>95</v>
      </c>
      <c r="P772" s="2" t="s">
        <v>465</v>
      </c>
      <c r="Q772" s="2" t="s">
        <v>97</v>
      </c>
      <c r="R772" s="2" t="s">
        <v>98</v>
      </c>
      <c r="S772" s="2" t="s">
        <v>2571</v>
      </c>
      <c r="T772" s="2" t="s">
        <v>878</v>
      </c>
      <c r="U772" s="2" t="s">
        <v>1494</v>
      </c>
      <c r="V772" s="2" t="s">
        <v>101</v>
      </c>
      <c r="W772" s="2" t="s">
        <v>335</v>
      </c>
      <c r="X772" s="2" t="s">
        <v>98</v>
      </c>
      <c r="Y772" s="2" t="s">
        <v>2565</v>
      </c>
      <c r="Z772" s="4">
        <v>90</v>
      </c>
      <c r="AA772" s="4">
        <f>=ROUNDDOWN(3.75,0)</f>
      </c>
      <c r="AB772" s="5">
        <v>24</v>
      </c>
      <c r="AC772" s="2" t="s">
        <v>98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17</v>
      </c>
      <c r="AQ772" s="8">
        <v>221</v>
      </c>
      <c r="AR772" s="4">
        <v>89</v>
      </c>
      <c r="AS772" s="8">
        <v>1075.12</v>
      </c>
      <c r="AT772" s="7">
        <v>-0.809</v>
      </c>
      <c r="AU772" s="7">
        <v>-0.7944</v>
      </c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>
        <v>0.4236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 t="s">
        <v>98</v>
      </c>
      <c r="BJ772" s="4">
        <v>124</v>
      </c>
      <c r="BK772" s="8">
        <v>1653.17</v>
      </c>
      <c r="BL772" s="2" t="s">
        <v>2546</v>
      </c>
      <c r="BM772" s="7">
        <v>0.1371</v>
      </c>
      <c r="BN772" s="7">
        <v>0.1337</v>
      </c>
      <c r="BO772" s="4">
        <v>17</v>
      </c>
      <c r="BP772" s="8">
        <v>221</v>
      </c>
      <c r="BQ772" s="4">
        <v>89</v>
      </c>
      <c r="BR772" s="8">
        <v>1075.12</v>
      </c>
      <c r="BS772" s="7">
        <v>-0.809</v>
      </c>
      <c r="BT772" s="7">
        <v>-0.7944</v>
      </c>
      <c r="BU772" s="2" t="s">
        <v>211</v>
      </c>
      <c r="BV772" s="2" t="s">
        <v>95</v>
      </c>
      <c r="BW772" s="2" t="s">
        <v>801</v>
      </c>
      <c r="BX772" s="2" t="s">
        <v>2574</v>
      </c>
      <c r="BY772" s="2" t="s">
        <v>354</v>
      </c>
    </row>
    <row r="773">
      <c r="A773" s="2" t="s">
        <v>2575</v>
      </c>
      <c r="B773" s="2" t="s">
        <v>86</v>
      </c>
      <c r="C773" s="2" t="s">
        <v>2106</v>
      </c>
      <c r="D773" s="2" t="s">
        <v>88</v>
      </c>
      <c r="E773" s="2" t="s">
        <v>1597</v>
      </c>
      <c r="F773" s="2" t="s">
        <v>2560</v>
      </c>
      <c r="G773" s="2" t="s">
        <v>2561</v>
      </c>
      <c r="H773" s="2" t="s">
        <v>2562</v>
      </c>
      <c r="I773" s="2" t="s">
        <v>2563</v>
      </c>
      <c r="J773" s="2" t="s">
        <v>1513</v>
      </c>
      <c r="K773" s="2" t="s">
        <v>299</v>
      </c>
      <c r="L773" s="3">
        <v>16.17</v>
      </c>
      <c r="M773" s="3">
        <v>16.98</v>
      </c>
      <c r="N773" s="3">
        <v>39.99</v>
      </c>
      <c r="O773" s="2" t="s">
        <v>241</v>
      </c>
      <c r="P773" s="2" t="s">
        <v>465</v>
      </c>
      <c r="Q773" s="2" t="s">
        <v>97</v>
      </c>
      <c r="R773" s="2" t="s">
        <v>98</v>
      </c>
      <c r="S773" s="2" t="s">
        <v>2571</v>
      </c>
      <c r="T773" s="2" t="s">
        <v>878</v>
      </c>
      <c r="U773" s="2" t="s">
        <v>1494</v>
      </c>
      <c r="V773" s="2" t="s">
        <v>101</v>
      </c>
      <c r="W773" s="2" t="s">
        <v>335</v>
      </c>
      <c r="X773" s="2" t="s">
        <v>98</v>
      </c>
      <c r="Y773" s="2" t="s">
        <v>2565</v>
      </c>
      <c r="Z773" s="4"/>
      <c r="AA773" s="4">
        <f>=ROUNDDOWN({0},0)</f>
      </c>
      <c r="AB773" s="5">
        <v>5</v>
      </c>
      <c r="AC773" s="2" t="s">
        <v>98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5</v>
      </c>
      <c r="AQ773" s="8">
        <v>72.55</v>
      </c>
      <c r="AR773" s="4">
        <v>36</v>
      </c>
      <c r="AS773" s="8">
        <v>491.4</v>
      </c>
      <c r="AT773" s="7">
        <v>-0.8611</v>
      </c>
      <c r="AU773" s="7">
        <v>-0.8524</v>
      </c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>
        <v>0.1391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 t="s">
        <v>98</v>
      </c>
      <c r="BJ773" s="4">
        <v>54</v>
      </c>
      <c r="BK773" s="8">
        <v>866.53</v>
      </c>
      <c r="BL773" s="2" t="s">
        <v>2576</v>
      </c>
      <c r="BM773" s="7">
        <v>0.0926</v>
      </c>
      <c r="BN773" s="7">
        <v>0.0837</v>
      </c>
      <c r="BO773" s="4">
        <v>5</v>
      </c>
      <c r="BP773" s="8">
        <v>72.55</v>
      </c>
      <c r="BQ773" s="4">
        <v>36</v>
      </c>
      <c r="BR773" s="8">
        <v>491.4</v>
      </c>
      <c r="BS773" s="7">
        <v>-0.8611</v>
      </c>
      <c r="BT773" s="7">
        <v>-0.8524</v>
      </c>
      <c r="BU773" s="2" t="s">
        <v>211</v>
      </c>
      <c r="BV773" s="2" t="s">
        <v>352</v>
      </c>
      <c r="BW773" s="2" t="s">
        <v>801</v>
      </c>
      <c r="BX773" s="2" t="s">
        <v>905</v>
      </c>
      <c r="BY773" s="2" t="s">
        <v>354</v>
      </c>
    </row>
    <row r="774">
      <c r="A774" s="2" t="s">
        <v>2577</v>
      </c>
      <c r="B774" s="2" t="s">
        <v>86</v>
      </c>
      <c r="C774" s="2" t="s">
        <v>2106</v>
      </c>
      <c r="D774" s="2" t="s">
        <v>88</v>
      </c>
      <c r="E774" s="2" t="s">
        <v>1597</v>
      </c>
      <c r="F774" s="2" t="s">
        <v>2560</v>
      </c>
      <c r="G774" s="2" t="s">
        <v>2561</v>
      </c>
      <c r="H774" s="2" t="s">
        <v>2562</v>
      </c>
      <c r="I774" s="2" t="s">
        <v>2563</v>
      </c>
      <c r="J774" s="2" t="s">
        <v>809</v>
      </c>
      <c r="K774" s="2" t="s">
        <v>312</v>
      </c>
      <c r="L774" s="3">
        <v>12.37</v>
      </c>
      <c r="M774" s="3">
        <v>12.99</v>
      </c>
      <c r="N774" s="3">
        <v>29.99</v>
      </c>
      <c r="O774" s="2" t="s">
        <v>368</v>
      </c>
      <c r="P774" s="2" t="s">
        <v>465</v>
      </c>
      <c r="Q774" s="2" t="s">
        <v>97</v>
      </c>
      <c r="R774" s="2" t="s">
        <v>98</v>
      </c>
      <c r="S774" s="2" t="s">
        <v>2578</v>
      </c>
      <c r="T774" s="2" t="s">
        <v>878</v>
      </c>
      <c r="U774" s="2" t="s">
        <v>1494</v>
      </c>
      <c r="V774" s="2" t="s">
        <v>101</v>
      </c>
      <c r="W774" s="2" t="s">
        <v>335</v>
      </c>
      <c r="X774" s="2" t="s">
        <v>98</v>
      </c>
      <c r="Y774" s="2" t="s">
        <v>2565</v>
      </c>
      <c r="Z774" s="4">
        <v>24</v>
      </c>
      <c r="AA774" s="4">
        <f>=ROUNDDOWN(2,0)</f>
      </c>
      <c r="AB774" s="5">
        <v>12</v>
      </c>
      <c r="AC774" s="2" t="s">
        <v>98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>
        <v>6</v>
      </c>
      <c r="AQ774" s="8">
        <v>85.56</v>
      </c>
      <c r="AR774" s="4">
        <v>22</v>
      </c>
      <c r="AS774" s="8">
        <v>231</v>
      </c>
      <c r="AT774" s="7">
        <v>-0.7273</v>
      </c>
      <c r="AU774" s="7">
        <v>-0.6296</v>
      </c>
      <c r="AV774" s="4">
        <v>10</v>
      </c>
      <c r="AW774" s="8">
        <v>139.07</v>
      </c>
      <c r="AX774" s="4">
        <v>61</v>
      </c>
      <c r="AY774" s="8">
        <v>724.1</v>
      </c>
      <c r="AZ774" s="7">
        <v>-0.8361</v>
      </c>
      <c r="BA774" s="7">
        <v>-0.8079</v>
      </c>
      <c r="BB774" s="7">
        <v>0.6152</v>
      </c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0.1029</v>
      </c>
      <c r="BJ774" s="4">
        <v>57</v>
      </c>
      <c r="BK774" s="8">
        <v>688.8</v>
      </c>
      <c r="BL774" s="2" t="s">
        <v>2579</v>
      </c>
      <c r="BM774" s="7">
        <v>0.1053</v>
      </c>
      <c r="BN774" s="7">
        <v>0.1242</v>
      </c>
      <c r="BO774" s="4">
        <v>6</v>
      </c>
      <c r="BP774" s="8">
        <v>85.56</v>
      </c>
      <c r="BQ774" s="4">
        <v>22</v>
      </c>
      <c r="BR774" s="8">
        <v>231</v>
      </c>
      <c r="BS774" s="7">
        <v>-0.7273</v>
      </c>
      <c r="BT774" s="7">
        <v>-0.6296</v>
      </c>
      <c r="BU774" s="2" t="s">
        <v>211</v>
      </c>
      <c r="BV774" s="2" t="s">
        <v>95</v>
      </c>
      <c r="BW774" s="2" t="s">
        <v>801</v>
      </c>
      <c r="BX774" s="2" t="s">
        <v>960</v>
      </c>
      <c r="BY774" s="2" t="s">
        <v>354</v>
      </c>
    </row>
    <row r="775">
      <c r="A775" s="2" t="s">
        <v>2580</v>
      </c>
      <c r="B775" s="2" t="s">
        <v>86</v>
      </c>
      <c r="C775" s="2" t="s">
        <v>2106</v>
      </c>
      <c r="D775" s="2" t="s">
        <v>88</v>
      </c>
      <c r="E775" s="2" t="s">
        <v>1597</v>
      </c>
      <c r="F775" s="2" t="s">
        <v>2560</v>
      </c>
      <c r="G775" s="2" t="s">
        <v>2561</v>
      </c>
      <c r="H775" s="2" t="s">
        <v>2562</v>
      </c>
      <c r="I775" s="2" t="s">
        <v>2563</v>
      </c>
      <c r="J775" s="2" t="s">
        <v>814</v>
      </c>
      <c r="K775" s="2" t="s">
        <v>312</v>
      </c>
      <c r="L775" s="3">
        <v>14.19</v>
      </c>
      <c r="M775" s="3">
        <v>14.9</v>
      </c>
      <c r="N775" s="3">
        <v>34.99</v>
      </c>
      <c r="O775" s="2" t="s">
        <v>241</v>
      </c>
      <c r="P775" s="2" t="s">
        <v>465</v>
      </c>
      <c r="Q775" s="2" t="s">
        <v>97</v>
      </c>
      <c r="R775" s="2" t="s">
        <v>98</v>
      </c>
      <c r="S775" s="2" t="s">
        <v>2578</v>
      </c>
      <c r="T775" s="2" t="s">
        <v>878</v>
      </c>
      <c r="U775" s="2" t="s">
        <v>1494</v>
      </c>
      <c r="V775" s="2" t="s">
        <v>101</v>
      </c>
      <c r="W775" s="2" t="s">
        <v>335</v>
      </c>
      <c r="X775" s="2" t="s">
        <v>98</v>
      </c>
      <c r="Y775" s="2" t="s">
        <v>2565</v>
      </c>
      <c r="Z775" s="4"/>
      <c r="AA775" s="4">
        <f>=ROUNDDOWN({0},0)</f>
      </c>
      <c r="AB775" s="5">
        <v>10</v>
      </c>
      <c r="AC775" s="2" t="s">
        <v>98</v>
      </c>
      <c r="AD775" s="4"/>
      <c r="AE775" s="4"/>
      <c r="AF775" s="6">
        <v>65</v>
      </c>
      <c r="AG775" s="6"/>
      <c r="AH775" s="7">
        <v>0.8667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3</v>
      </c>
      <c r="AQ775" s="8">
        <v>39</v>
      </c>
      <c r="AR775" s="4">
        <v>25</v>
      </c>
      <c r="AS775" s="8">
        <v>302</v>
      </c>
      <c r="AT775" s="7">
        <v>-0.88</v>
      </c>
      <c r="AU775" s="7">
        <v>-0.8709</v>
      </c>
      <c r="AV775" s="4" t="s">
        <v>98</v>
      </c>
      <c r="AW775" s="8" t="s">
        <v>98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>
        <v>0.2804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 t="s">
        <v>98</v>
      </c>
      <c r="BJ775" s="4">
        <v>46</v>
      </c>
      <c r="BK775" s="8">
        <v>615.4</v>
      </c>
      <c r="BL775" s="2" t="s">
        <v>2581</v>
      </c>
      <c r="BM775" s="7">
        <v>0.0652</v>
      </c>
      <c r="BN775" s="7">
        <v>0.0634</v>
      </c>
      <c r="BO775" s="4">
        <v>3</v>
      </c>
      <c r="BP775" s="8">
        <v>39</v>
      </c>
      <c r="BQ775" s="4">
        <v>25</v>
      </c>
      <c r="BR775" s="8">
        <v>302</v>
      </c>
      <c r="BS775" s="7">
        <v>-0.88</v>
      </c>
      <c r="BT775" s="7">
        <v>-0.8709</v>
      </c>
      <c r="BU775" s="2" t="s">
        <v>211</v>
      </c>
      <c r="BV775" s="2" t="s">
        <v>352</v>
      </c>
      <c r="BW775" s="2" t="s">
        <v>801</v>
      </c>
      <c r="BX775" s="2" t="s">
        <v>2226</v>
      </c>
      <c r="BY775" s="2" t="s">
        <v>354</v>
      </c>
    </row>
    <row r="776">
      <c r="A776" s="2" t="s">
        <v>2582</v>
      </c>
      <c r="B776" s="2" t="s">
        <v>86</v>
      </c>
      <c r="C776" s="2" t="s">
        <v>2106</v>
      </c>
      <c r="D776" s="2" t="s">
        <v>88</v>
      </c>
      <c r="E776" s="2" t="s">
        <v>1597</v>
      </c>
      <c r="F776" s="2" t="s">
        <v>2560</v>
      </c>
      <c r="G776" s="2" t="s">
        <v>2561</v>
      </c>
      <c r="H776" s="2" t="s">
        <v>2562</v>
      </c>
      <c r="I776" s="2" t="s">
        <v>2563</v>
      </c>
      <c r="J776" s="2" t="s">
        <v>1513</v>
      </c>
      <c r="K776" s="2" t="s">
        <v>312</v>
      </c>
      <c r="L776" s="3">
        <v>16.17</v>
      </c>
      <c r="M776" s="3">
        <v>16.98</v>
      </c>
      <c r="N776" s="3">
        <v>39.99</v>
      </c>
      <c r="O776" s="2" t="s">
        <v>368</v>
      </c>
      <c r="P776" s="2" t="s">
        <v>465</v>
      </c>
      <c r="Q776" s="2" t="s">
        <v>97</v>
      </c>
      <c r="R776" s="2" t="s">
        <v>98</v>
      </c>
      <c r="S776" s="2" t="s">
        <v>2578</v>
      </c>
      <c r="T776" s="2" t="s">
        <v>878</v>
      </c>
      <c r="U776" s="2" t="s">
        <v>1494</v>
      </c>
      <c r="V776" s="2" t="s">
        <v>101</v>
      </c>
      <c r="W776" s="2" t="s">
        <v>335</v>
      </c>
      <c r="X776" s="2" t="s">
        <v>98</v>
      </c>
      <c r="Y776" s="2" t="s">
        <v>2565</v>
      </c>
      <c r="Z776" s="4">
        <v>1</v>
      </c>
      <c r="AA776" s="4">
        <f>=ROUNDDOWN(0.263157894736842,0)</f>
      </c>
      <c r="AB776" s="5">
        <v>3.8</v>
      </c>
      <c r="AC776" s="2" t="s">
        <v>98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>
        <v>1</v>
      </c>
      <c r="AQ776" s="8">
        <v>14.51</v>
      </c>
      <c r="AR776" s="4">
        <v>14</v>
      </c>
      <c r="AS776" s="8">
        <v>191.1</v>
      </c>
      <c r="AT776" s="7">
        <v>-0.9286</v>
      </c>
      <c r="AU776" s="7">
        <v>-0.9241</v>
      </c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>
        <v>0.1043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>
        <v>40</v>
      </c>
      <c r="BK776" s="8">
        <v>605.11</v>
      </c>
      <c r="BL776" s="2" t="s">
        <v>2583</v>
      </c>
      <c r="BM776" s="7">
        <v>0.025</v>
      </c>
      <c r="BN776" s="7">
        <v>0.024</v>
      </c>
      <c r="BO776" s="4">
        <v>1</v>
      </c>
      <c r="BP776" s="8">
        <v>14.51</v>
      </c>
      <c r="BQ776" s="4">
        <v>14</v>
      </c>
      <c r="BR776" s="8">
        <v>191.1</v>
      </c>
      <c r="BS776" s="7">
        <v>-0.9286</v>
      </c>
      <c r="BT776" s="7">
        <v>-0.9241</v>
      </c>
      <c r="BU776" s="2" t="s">
        <v>211</v>
      </c>
      <c r="BV776" s="2" t="s">
        <v>352</v>
      </c>
      <c r="BW776" s="2" t="s">
        <v>801</v>
      </c>
      <c r="BX776" s="2" t="s">
        <v>2584</v>
      </c>
      <c r="BY776" s="2" t="s">
        <v>354</v>
      </c>
    </row>
    <row r="777">
      <c r="A777" s="2" t="s">
        <v>2585</v>
      </c>
      <c r="B777" s="2" t="s">
        <v>86</v>
      </c>
      <c r="C777" s="2" t="s">
        <v>2106</v>
      </c>
      <c r="D777" s="2" t="s">
        <v>88</v>
      </c>
      <c r="E777" s="2" t="s">
        <v>1597</v>
      </c>
      <c r="F777" s="2" t="s">
        <v>2560</v>
      </c>
      <c r="G777" s="2" t="s">
        <v>2561</v>
      </c>
      <c r="H777" s="2" t="s">
        <v>2562</v>
      </c>
      <c r="I777" s="2" t="s">
        <v>2563</v>
      </c>
      <c r="J777" s="2" t="s">
        <v>809</v>
      </c>
      <c r="K777" s="2" t="s">
        <v>2586</v>
      </c>
      <c r="L777" s="3">
        <v>12.37</v>
      </c>
      <c r="M777" s="3">
        <v>12.99</v>
      </c>
      <c r="N777" s="3">
        <v>29.99</v>
      </c>
      <c r="O777" s="2" t="s">
        <v>95</v>
      </c>
      <c r="P777" s="2" t="s">
        <v>465</v>
      </c>
      <c r="Q777" s="2" t="s">
        <v>97</v>
      </c>
      <c r="R777" s="2" t="s">
        <v>98</v>
      </c>
      <c r="S777" s="2" t="s">
        <v>2587</v>
      </c>
      <c r="T777" s="2" t="s">
        <v>878</v>
      </c>
      <c r="U777" s="2" t="s">
        <v>1494</v>
      </c>
      <c r="V777" s="2" t="s">
        <v>101</v>
      </c>
      <c r="W777" s="2" t="s">
        <v>335</v>
      </c>
      <c r="X777" s="2" t="s">
        <v>98</v>
      </c>
      <c r="Y777" s="2" t="s">
        <v>2565</v>
      </c>
      <c r="Z777" s="4">
        <v>181</v>
      </c>
      <c r="AA777" s="4">
        <f>=ROUNDDOWN(6.03333333333333,0)</f>
      </c>
      <c r="AB777" s="5">
        <v>30</v>
      </c>
      <c r="AC777" s="2" t="s">
        <v>98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7</v>
      </c>
      <c r="AQ777" s="8">
        <v>79.87</v>
      </c>
      <c r="AR777" s="4">
        <v>6</v>
      </c>
      <c r="AS777" s="8">
        <v>63</v>
      </c>
      <c r="AT777" s="7">
        <v>0.1667</v>
      </c>
      <c r="AU777" s="7">
        <v>0.2678</v>
      </c>
      <c r="AV777" s="4">
        <v>8</v>
      </c>
      <c r="AW777" s="8">
        <v>92.87</v>
      </c>
      <c r="AX777" s="4">
        <v>86</v>
      </c>
      <c r="AY777" s="8">
        <v>1073.36</v>
      </c>
      <c r="AZ777" s="7">
        <v>-0.907</v>
      </c>
      <c r="BA777" s="7">
        <v>-0.9135</v>
      </c>
      <c r="BB777" s="7">
        <v>0.86</v>
      </c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0.0687</v>
      </c>
      <c r="BJ777" s="4">
        <v>126</v>
      </c>
      <c r="BK777" s="8">
        <v>1429.11</v>
      </c>
      <c r="BL777" s="2" t="s">
        <v>2588</v>
      </c>
      <c r="BM777" s="7">
        <v>0.0556</v>
      </c>
      <c r="BN777" s="7">
        <v>0.0559</v>
      </c>
      <c r="BO777" s="4">
        <v>7</v>
      </c>
      <c r="BP777" s="8">
        <v>79.87</v>
      </c>
      <c r="BQ777" s="4">
        <v>6</v>
      </c>
      <c r="BR777" s="8">
        <v>63</v>
      </c>
      <c r="BS777" s="7">
        <v>0.1667</v>
      </c>
      <c r="BT777" s="7">
        <v>0.2678</v>
      </c>
      <c r="BU777" s="2" t="s">
        <v>211</v>
      </c>
      <c r="BV777" s="2" t="s">
        <v>95</v>
      </c>
      <c r="BW777" s="2" t="s">
        <v>801</v>
      </c>
      <c r="BX777" s="2" t="s">
        <v>802</v>
      </c>
      <c r="BY777" s="2" t="s">
        <v>354</v>
      </c>
    </row>
    <row r="778">
      <c r="A778" s="2" t="s">
        <v>2589</v>
      </c>
      <c r="B778" s="2" t="s">
        <v>86</v>
      </c>
      <c r="C778" s="2" t="s">
        <v>2106</v>
      </c>
      <c r="D778" s="2" t="s">
        <v>88</v>
      </c>
      <c r="E778" s="2" t="s">
        <v>1597</v>
      </c>
      <c r="F778" s="2" t="s">
        <v>2560</v>
      </c>
      <c r="G778" s="2" t="s">
        <v>2561</v>
      </c>
      <c r="H778" s="2" t="s">
        <v>2562</v>
      </c>
      <c r="I778" s="2" t="s">
        <v>2563</v>
      </c>
      <c r="J778" s="2" t="s">
        <v>814</v>
      </c>
      <c r="K778" s="2" t="s">
        <v>2586</v>
      </c>
      <c r="L778" s="3">
        <v>14.19</v>
      </c>
      <c r="M778" s="3">
        <v>14.9</v>
      </c>
      <c r="N778" s="3">
        <v>34.99</v>
      </c>
      <c r="O778" s="2" t="s">
        <v>95</v>
      </c>
      <c r="P778" s="2" t="s">
        <v>465</v>
      </c>
      <c r="Q778" s="2" t="s">
        <v>97</v>
      </c>
      <c r="R778" s="2" t="s">
        <v>98</v>
      </c>
      <c r="S778" s="2" t="s">
        <v>2587</v>
      </c>
      <c r="T778" s="2" t="s">
        <v>878</v>
      </c>
      <c r="U778" s="2" t="s">
        <v>1494</v>
      </c>
      <c r="V778" s="2" t="s">
        <v>101</v>
      </c>
      <c r="W778" s="2" t="s">
        <v>335</v>
      </c>
      <c r="X778" s="2" t="s">
        <v>98</v>
      </c>
      <c r="Y778" s="2" t="s">
        <v>2565</v>
      </c>
      <c r="Z778" s="4">
        <v>7</v>
      </c>
      <c r="AA778" s="4">
        <f>=ROUNDDOWN(0.28,0)</f>
      </c>
      <c r="AB778" s="5">
        <v>25</v>
      </c>
      <c r="AC778" s="2" t="s">
        <v>98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1</v>
      </c>
      <c r="AQ778" s="8">
        <v>13</v>
      </c>
      <c r="AR778" s="4">
        <v>52</v>
      </c>
      <c r="AS778" s="8">
        <v>628.16</v>
      </c>
      <c r="AT778" s="7">
        <v>-0.9808</v>
      </c>
      <c r="AU778" s="7">
        <v>-0.9793</v>
      </c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>
        <v>0.14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 t="s">
        <v>98</v>
      </c>
      <c r="BJ778" s="4">
        <v>196</v>
      </c>
      <c r="BK778" s="8">
        <v>2487.39</v>
      </c>
      <c r="BL778" s="2" t="s">
        <v>2590</v>
      </c>
      <c r="BM778" s="7">
        <v>0.0051</v>
      </c>
      <c r="BN778" s="7">
        <v>0.0052</v>
      </c>
      <c r="BO778" s="4">
        <v>1</v>
      </c>
      <c r="BP778" s="8">
        <v>13</v>
      </c>
      <c r="BQ778" s="4">
        <v>52</v>
      </c>
      <c r="BR778" s="8">
        <v>628.16</v>
      </c>
      <c r="BS778" s="7">
        <v>-0.9808</v>
      </c>
      <c r="BT778" s="7">
        <v>-0.9793</v>
      </c>
      <c r="BU778" s="2" t="s">
        <v>211</v>
      </c>
      <c r="BV778" s="2" t="s">
        <v>95</v>
      </c>
      <c r="BW778" s="2" t="s">
        <v>801</v>
      </c>
      <c r="BX778" s="2" t="s">
        <v>2226</v>
      </c>
      <c r="BY778" s="2" t="s">
        <v>354</v>
      </c>
    </row>
    <row r="779">
      <c r="A779" s="2" t="s">
        <v>2591</v>
      </c>
      <c r="B779" s="2" t="s">
        <v>86</v>
      </c>
      <c r="C779" s="2" t="s">
        <v>2106</v>
      </c>
      <c r="D779" s="2" t="s">
        <v>88</v>
      </c>
      <c r="E779" s="2" t="s">
        <v>1597</v>
      </c>
      <c r="F779" s="2" t="s">
        <v>2560</v>
      </c>
      <c r="G779" s="2" t="s">
        <v>2561</v>
      </c>
      <c r="H779" s="2" t="s">
        <v>2562</v>
      </c>
      <c r="I779" s="2" t="s">
        <v>2563</v>
      </c>
      <c r="J779" s="2" t="s">
        <v>1513</v>
      </c>
      <c r="K779" s="2" t="s">
        <v>2586</v>
      </c>
      <c r="L779" s="3">
        <v>16.17</v>
      </c>
      <c r="M779" s="3">
        <v>16.98</v>
      </c>
      <c r="N779" s="3">
        <v>39.99</v>
      </c>
      <c r="O779" s="2" t="s">
        <v>368</v>
      </c>
      <c r="P779" s="2" t="s">
        <v>465</v>
      </c>
      <c r="Q779" s="2" t="s">
        <v>97</v>
      </c>
      <c r="R779" s="2" t="s">
        <v>98</v>
      </c>
      <c r="S779" s="2" t="s">
        <v>2587</v>
      </c>
      <c r="T779" s="2" t="s">
        <v>878</v>
      </c>
      <c r="U779" s="2" t="s">
        <v>1494</v>
      </c>
      <c r="V779" s="2" t="s">
        <v>101</v>
      </c>
      <c r="W779" s="2" t="s">
        <v>335</v>
      </c>
      <c r="X779" s="2" t="s">
        <v>98</v>
      </c>
      <c r="Y779" s="2" t="s">
        <v>2565</v>
      </c>
      <c r="Z779" s="4">
        <v>5</v>
      </c>
      <c r="AA779" s="4">
        <f>=ROUNDDOWN({0},0)</f>
      </c>
      <c r="AB779" s="5"/>
      <c r="AC779" s="2" t="s">
        <v>98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>
        <v>28</v>
      </c>
      <c r="AS779" s="8">
        <v>382.2</v>
      </c>
      <c r="AT779" s="7">
        <v>-1</v>
      </c>
      <c r="AU779" s="7">
        <v>-1</v>
      </c>
      <c r="AV779" s="4" t="s">
        <v>98</v>
      </c>
      <c r="AW779" s="8" t="s">
        <v>98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 t="s">
        <v>98</v>
      </c>
      <c r="BJ779" s="4">
        <v>115</v>
      </c>
      <c r="BK779" s="8">
        <v>1530.52</v>
      </c>
      <c r="BL779" s="2" t="s">
        <v>2225</v>
      </c>
      <c r="BM779" s="7"/>
      <c r="BN779" s="7"/>
      <c r="BO779" s="4"/>
      <c r="BP779" s="8"/>
      <c r="BQ779" s="4">
        <v>28</v>
      </c>
      <c r="BR779" s="8">
        <v>382.2</v>
      </c>
      <c r="BS779" s="7">
        <v>-1</v>
      </c>
      <c r="BT779" s="7">
        <v>-1</v>
      </c>
      <c r="BU779" s="2" t="s">
        <v>211</v>
      </c>
      <c r="BV779" s="2" t="s">
        <v>352</v>
      </c>
      <c r="BW779" s="2" t="s">
        <v>801</v>
      </c>
      <c r="BX779" s="2" t="s">
        <v>967</v>
      </c>
      <c r="BY779" s="2" t="s">
        <v>354</v>
      </c>
    </row>
    <row r="780">
      <c r="A780" s="2" t="s">
        <v>2592</v>
      </c>
      <c r="B780" s="2" t="s">
        <v>86</v>
      </c>
      <c r="C780" s="2" t="s">
        <v>2106</v>
      </c>
      <c r="D780" s="2" t="s">
        <v>88</v>
      </c>
      <c r="E780" s="2" t="s">
        <v>1597</v>
      </c>
      <c r="F780" s="2" t="s">
        <v>2107</v>
      </c>
      <c r="G780" s="2" t="s">
        <v>2108</v>
      </c>
      <c r="H780" s="2" t="s">
        <v>2109</v>
      </c>
      <c r="I780" s="2" t="s">
        <v>2593</v>
      </c>
      <c r="J780" s="2" t="s">
        <v>1470</v>
      </c>
      <c r="K780" s="2" t="s">
        <v>137</v>
      </c>
      <c r="L780" s="3">
        <v>30.1</v>
      </c>
      <c r="M780" s="3">
        <v>31.61</v>
      </c>
      <c r="N780" s="3">
        <v>69.99</v>
      </c>
      <c r="O780" s="2" t="s">
        <v>95</v>
      </c>
      <c r="P780" s="2" t="s">
        <v>313</v>
      </c>
      <c r="Q780" s="2" t="s">
        <v>97</v>
      </c>
      <c r="R780" s="2" t="s">
        <v>98</v>
      </c>
      <c r="S780" s="2" t="s">
        <v>2133</v>
      </c>
      <c r="T780" s="2" t="s">
        <v>98</v>
      </c>
      <c r="U780" s="2" t="s">
        <v>1494</v>
      </c>
      <c r="V780" s="2" t="s">
        <v>2050</v>
      </c>
      <c r="W780" s="2" t="s">
        <v>2111</v>
      </c>
      <c r="X780" s="2" t="s">
        <v>130</v>
      </c>
      <c r="Y780" s="2" t="s">
        <v>2594</v>
      </c>
      <c r="Z780" s="4">
        <v>556</v>
      </c>
      <c r="AA780" s="4">
        <f>=ROUNDDOWN(158.857142857143,0)</f>
      </c>
      <c r="AB780" s="5">
        <v>3.5</v>
      </c>
      <c r="AC780" s="2" t="s">
        <v>98</v>
      </c>
      <c r="AD780" s="4"/>
      <c r="AE780" s="4"/>
      <c r="AF780" s="6">
        <v>68</v>
      </c>
      <c r="AG780" s="6"/>
      <c r="AH780" s="7">
        <v>0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98</v>
      </c>
      <c r="BM780" s="7"/>
      <c r="BN780" s="7"/>
      <c r="BO780" s="4"/>
      <c r="BP780" s="8"/>
      <c r="BQ780" s="4"/>
      <c r="BR780" s="8"/>
      <c r="BS780" s="7"/>
      <c r="BT780" s="7"/>
      <c r="BU780" s="2" t="s">
        <v>316</v>
      </c>
      <c r="BV780" s="2" t="s">
        <v>95</v>
      </c>
      <c r="BW780" s="2" t="s">
        <v>98</v>
      </c>
      <c r="BX780" s="2" t="s">
        <v>98</v>
      </c>
      <c r="BY780" s="2" t="s">
        <v>111</v>
      </c>
    </row>
    <row r="781">
      <c r="A781" s="2" t="s">
        <v>2595</v>
      </c>
      <c r="B781" s="2" t="s">
        <v>86</v>
      </c>
      <c r="C781" s="2" t="s">
        <v>2106</v>
      </c>
      <c r="D781" s="2" t="s">
        <v>1786</v>
      </c>
      <c r="E781" s="2" t="s">
        <v>1786</v>
      </c>
      <c r="F781" s="2" t="s">
        <v>2327</v>
      </c>
      <c r="G781" s="2" t="s">
        <v>2328</v>
      </c>
      <c r="H781" s="2" t="s">
        <v>2329</v>
      </c>
      <c r="I781" s="2" t="s">
        <v>2596</v>
      </c>
      <c r="J781" s="2" t="s">
        <v>2597</v>
      </c>
      <c r="K781" s="2" t="s">
        <v>2331</v>
      </c>
      <c r="L781" s="3">
        <v>17.1</v>
      </c>
      <c r="M781" s="3">
        <v>17.96</v>
      </c>
      <c r="N781" s="3">
        <v>37.99</v>
      </c>
      <c r="O781" s="2" t="s">
        <v>95</v>
      </c>
      <c r="P781" s="2" t="s">
        <v>215</v>
      </c>
      <c r="Q781" s="2" t="s">
        <v>97</v>
      </c>
      <c r="R781" s="2" t="s">
        <v>98</v>
      </c>
      <c r="S781" s="2" t="s">
        <v>2332</v>
      </c>
      <c r="T781" s="2" t="s">
        <v>98</v>
      </c>
      <c r="U781" s="2" t="s">
        <v>100</v>
      </c>
      <c r="V781" s="2" t="s">
        <v>2333</v>
      </c>
      <c r="W781" s="2" t="s">
        <v>2111</v>
      </c>
      <c r="X781" s="2" t="s">
        <v>98</v>
      </c>
      <c r="Y781" s="2" t="s">
        <v>2334</v>
      </c>
      <c r="Z781" s="4">
        <v>165</v>
      </c>
      <c r="AA781" s="4">
        <f>=ROUNDDOWN(11.1486486486486,0)</f>
      </c>
      <c r="AB781" s="5">
        <v>14.8</v>
      </c>
      <c r="AC781" s="2" t="s">
        <v>98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58</v>
      </c>
      <c r="AQ781" s="8">
        <v>1102</v>
      </c>
      <c r="AR781" s="4">
        <v>166</v>
      </c>
      <c r="AS781" s="8">
        <v>2592.92</v>
      </c>
      <c r="AT781" s="7">
        <v>-0.6506</v>
      </c>
      <c r="AU781" s="7">
        <v>-0.575</v>
      </c>
      <c r="AV781" s="4">
        <v>58</v>
      </c>
      <c r="AW781" s="8">
        <v>1102</v>
      </c>
      <c r="AX781" s="4">
        <v>166</v>
      </c>
      <c r="AY781" s="8">
        <v>2592.92</v>
      </c>
      <c r="AZ781" s="7">
        <v>-0.6506</v>
      </c>
      <c r="BA781" s="7">
        <v>-0.575</v>
      </c>
      <c r="BB781" s="7">
        <v>1</v>
      </c>
      <c r="BC781" s="4">
        <v>61</v>
      </c>
      <c r="BD781" s="8">
        <v>1159</v>
      </c>
      <c r="BE781" s="4">
        <v>166</v>
      </c>
      <c r="BF781" s="8">
        <v>2592.92</v>
      </c>
      <c r="BG781" s="7">
        <v>-0.6325</v>
      </c>
      <c r="BH781" s="7">
        <v>-0.553</v>
      </c>
      <c r="BI781" s="7">
        <v>0.9508</v>
      </c>
      <c r="BJ781" s="4">
        <v>136</v>
      </c>
      <c r="BK781" s="8">
        <v>2509.28</v>
      </c>
      <c r="BL781" s="2" t="s">
        <v>2598</v>
      </c>
      <c r="BM781" s="7">
        <v>0.4265</v>
      </c>
      <c r="BN781" s="7">
        <v>0.4392</v>
      </c>
      <c r="BO781" s="4">
        <v>58</v>
      </c>
      <c r="BP781" s="8">
        <v>1102</v>
      </c>
      <c r="BQ781" s="4">
        <v>166</v>
      </c>
      <c r="BR781" s="8">
        <v>2592.92</v>
      </c>
      <c r="BS781" s="7">
        <v>-0.6506</v>
      </c>
      <c r="BT781" s="7">
        <v>-0.575</v>
      </c>
      <c r="BU781" s="2" t="s">
        <v>107</v>
      </c>
      <c r="BV781" s="2" t="s">
        <v>108</v>
      </c>
      <c r="BW781" s="2" t="s">
        <v>2115</v>
      </c>
      <c r="BX781" s="2" t="s">
        <v>2117</v>
      </c>
      <c r="BY781" s="2" t="s">
        <v>111</v>
      </c>
    </row>
    <row r="782">
      <c r="A782" s="2" t="s">
        <v>2599</v>
      </c>
      <c r="B782" s="2" t="s">
        <v>86</v>
      </c>
      <c r="C782" s="2" t="s">
        <v>2106</v>
      </c>
      <c r="D782" s="2" t="s">
        <v>1786</v>
      </c>
      <c r="E782" s="2" t="s">
        <v>1786</v>
      </c>
      <c r="F782" s="2" t="s">
        <v>2327</v>
      </c>
      <c r="G782" s="2" t="s">
        <v>2328</v>
      </c>
      <c r="H782" s="2" t="s">
        <v>2329</v>
      </c>
      <c r="I782" s="2" t="s">
        <v>2596</v>
      </c>
      <c r="J782" s="2" t="s">
        <v>2597</v>
      </c>
      <c r="K782" s="2" t="s">
        <v>2341</v>
      </c>
      <c r="L782" s="3">
        <v>17.1</v>
      </c>
      <c r="M782" s="3">
        <v>17.96</v>
      </c>
      <c r="N782" s="3">
        <v>37.99</v>
      </c>
      <c r="O782" s="2" t="s">
        <v>95</v>
      </c>
      <c r="P782" s="2" t="s">
        <v>215</v>
      </c>
      <c r="Q782" s="2" t="s">
        <v>97</v>
      </c>
      <c r="R782" s="2" t="s">
        <v>98</v>
      </c>
      <c r="S782" s="2" t="s">
        <v>2342</v>
      </c>
      <c r="T782" s="2" t="s">
        <v>98</v>
      </c>
      <c r="U782" s="2" t="s">
        <v>100</v>
      </c>
      <c r="V782" s="2" t="s">
        <v>2333</v>
      </c>
      <c r="W782" s="2" t="s">
        <v>2111</v>
      </c>
      <c r="X782" s="2" t="s">
        <v>98</v>
      </c>
      <c r="Y782" s="2" t="s">
        <v>2343</v>
      </c>
      <c r="Z782" s="4">
        <v>37</v>
      </c>
      <c r="AA782" s="4">
        <f>=ROUNDDOWN(6.16666666666667,0)</f>
      </c>
      <c r="AB782" s="5">
        <v>6</v>
      </c>
      <c r="AC782" s="2" t="s">
        <v>98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3</v>
      </c>
      <c r="AQ782" s="8">
        <v>57</v>
      </c>
      <c r="AR782" s="4"/>
      <c r="AS782" s="8"/>
      <c r="AT782" s="7"/>
      <c r="AU782" s="7"/>
      <c r="AV782" s="4">
        <v>3</v>
      </c>
      <c r="AW782" s="8">
        <v>57</v>
      </c>
      <c r="AX782" s="4"/>
      <c r="AY782" s="8"/>
      <c r="AZ782" s="7"/>
      <c r="BA782" s="7"/>
      <c r="BB782" s="7">
        <v>1</v>
      </c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>
        <v>0.0492</v>
      </c>
      <c r="BJ782" s="4">
        <v>24</v>
      </c>
      <c r="BK782" s="8">
        <v>433.26</v>
      </c>
      <c r="BL782" s="2" t="s">
        <v>1320</v>
      </c>
      <c r="BM782" s="7">
        <v>0.125</v>
      </c>
      <c r="BN782" s="7">
        <v>0.1316</v>
      </c>
      <c r="BO782" s="4">
        <v>3</v>
      </c>
      <c r="BP782" s="8">
        <v>57</v>
      </c>
      <c r="BQ782" s="4"/>
      <c r="BR782" s="8"/>
      <c r="BS782" s="7"/>
      <c r="BT782" s="7"/>
      <c r="BU782" s="2" t="s">
        <v>107</v>
      </c>
      <c r="BV782" s="2" t="s">
        <v>108</v>
      </c>
      <c r="BW782" s="2" t="s">
        <v>2124</v>
      </c>
      <c r="BX782" s="2" t="s">
        <v>2345</v>
      </c>
      <c r="BY782" s="2" t="s">
        <v>111</v>
      </c>
    </row>
    <row r="783">
      <c r="A783" s="2" t="s">
        <v>2600</v>
      </c>
      <c r="B783" s="2" t="s">
        <v>86</v>
      </c>
      <c r="C783" s="2" t="s">
        <v>2106</v>
      </c>
      <c r="D783" s="2" t="s">
        <v>1786</v>
      </c>
      <c r="E783" s="2" t="s">
        <v>1786</v>
      </c>
      <c r="F783" s="2" t="s">
        <v>2327</v>
      </c>
      <c r="G783" s="2" t="s">
        <v>2328</v>
      </c>
      <c r="H783" s="2" t="s">
        <v>2329</v>
      </c>
      <c r="I783" s="2" t="s">
        <v>2596</v>
      </c>
      <c r="J783" s="2" t="s">
        <v>2597</v>
      </c>
      <c r="K783" s="2" t="s">
        <v>94</v>
      </c>
      <c r="L783" s="3">
        <v>17.1</v>
      </c>
      <c r="M783" s="3">
        <v>17.96</v>
      </c>
      <c r="N783" s="3">
        <v>37.99</v>
      </c>
      <c r="O783" s="2" t="s">
        <v>95</v>
      </c>
      <c r="P783" s="2" t="s">
        <v>215</v>
      </c>
      <c r="Q783" s="2" t="s">
        <v>97</v>
      </c>
      <c r="R783" s="2" t="s">
        <v>98</v>
      </c>
      <c r="S783" s="2" t="s">
        <v>2351</v>
      </c>
      <c r="T783" s="2" t="s">
        <v>98</v>
      </c>
      <c r="U783" s="2" t="s">
        <v>100</v>
      </c>
      <c r="V783" s="2" t="s">
        <v>2333</v>
      </c>
      <c r="W783" s="2" t="s">
        <v>2111</v>
      </c>
      <c r="X783" s="2" t="s">
        <v>98</v>
      </c>
      <c r="Y783" s="2" t="s">
        <v>2352</v>
      </c>
      <c r="Z783" s="4">
        <v>52</v>
      </c>
      <c r="AA783" s="4">
        <f>=ROUNDDOWN(8.8135593220339,0)</f>
      </c>
      <c r="AB783" s="5">
        <v>5.9</v>
      </c>
      <c r="AC783" s="2" t="s">
        <v>98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>
        <v>12</v>
      </c>
      <c r="BK783" s="8">
        <v>204.33</v>
      </c>
      <c r="BL783" s="2" t="s">
        <v>2601</v>
      </c>
      <c r="BM783" s="7"/>
      <c r="BN783" s="7"/>
      <c r="BO783" s="4"/>
      <c r="BP783" s="8"/>
      <c r="BQ783" s="4"/>
      <c r="BR783" s="8"/>
      <c r="BS783" s="7"/>
      <c r="BT783" s="7"/>
      <c r="BU783" s="2" t="s">
        <v>211</v>
      </c>
      <c r="BV783" s="2" t="s">
        <v>95</v>
      </c>
      <c r="BW783" s="2" t="s">
        <v>911</v>
      </c>
      <c r="BX783" s="2" t="s">
        <v>2602</v>
      </c>
      <c r="BY783" s="2" t="s">
        <v>111</v>
      </c>
    </row>
    <row r="784">
      <c r="A784" s="2" t="s">
        <v>2603</v>
      </c>
      <c r="B784" s="2" t="s">
        <v>86</v>
      </c>
      <c r="C784" s="2" t="s">
        <v>2604</v>
      </c>
      <c r="D784" s="2" t="s">
        <v>88</v>
      </c>
      <c r="E784" s="2" t="s">
        <v>88</v>
      </c>
      <c r="F784" s="2" t="s">
        <v>2605</v>
      </c>
      <c r="G784" s="2" t="s">
        <v>2606</v>
      </c>
      <c r="H784" s="2" t="s">
        <v>2607</v>
      </c>
      <c r="I784" s="2" t="s">
        <v>2608</v>
      </c>
      <c r="J784" s="2" t="s">
        <v>331</v>
      </c>
      <c r="K784" s="2" t="s">
        <v>2609</v>
      </c>
      <c r="L784" s="3">
        <v>19.2</v>
      </c>
      <c r="M784" s="3">
        <v>20.16</v>
      </c>
      <c r="N784" s="3">
        <v>39.99</v>
      </c>
      <c r="O784" s="2" t="s">
        <v>95</v>
      </c>
      <c r="P784" s="2" t="s">
        <v>150</v>
      </c>
      <c r="Q784" s="2" t="s">
        <v>97</v>
      </c>
      <c r="R784" s="2" t="s">
        <v>98</v>
      </c>
      <c r="S784" s="2" t="s">
        <v>2610</v>
      </c>
      <c r="T784" s="2" t="s">
        <v>98</v>
      </c>
      <c r="U784" s="2" t="s">
        <v>98</v>
      </c>
      <c r="V784" s="2" t="s">
        <v>617</v>
      </c>
      <c r="W784" s="2" t="s">
        <v>567</v>
      </c>
      <c r="X784" s="2" t="s">
        <v>130</v>
      </c>
      <c r="Y784" s="2" t="s">
        <v>672</v>
      </c>
      <c r="Z784" s="4">
        <v>72</v>
      </c>
      <c r="AA784" s="4">
        <f>=ROUNDDOWN(6.54545454545455,0)</f>
      </c>
      <c r="AB784" s="5">
        <v>11</v>
      </c>
      <c r="AC784" s="2" t="s">
        <v>376</v>
      </c>
      <c r="AD784" s="4">
        <v>160</v>
      </c>
      <c r="AE784" s="4">
        <v>232</v>
      </c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11</v>
      </c>
      <c r="AQ784" s="8">
        <v>228.69</v>
      </c>
      <c r="AR784" s="4">
        <v>40</v>
      </c>
      <c r="AS784" s="8">
        <v>750.4</v>
      </c>
      <c r="AT784" s="7">
        <v>-0.725</v>
      </c>
      <c r="AU784" s="7">
        <v>-0.6952</v>
      </c>
      <c r="AV784" s="4">
        <v>57</v>
      </c>
      <c r="AW784" s="8">
        <v>1185.03</v>
      </c>
      <c r="AX784" s="4">
        <v>195</v>
      </c>
      <c r="AY784" s="8">
        <v>3658.2</v>
      </c>
      <c r="AZ784" s="7">
        <v>-0.7077</v>
      </c>
      <c r="BA784" s="7">
        <v>-0.6761</v>
      </c>
      <c r="BB784" s="7">
        <v>0.193</v>
      </c>
      <c r="BC784" s="4">
        <v>215</v>
      </c>
      <c r="BD784" s="8">
        <v>4469.85</v>
      </c>
      <c r="BE784" s="4">
        <v>1630</v>
      </c>
      <c r="BF784" s="8">
        <v>28824.6</v>
      </c>
      <c r="BG784" s="7">
        <v>-0.8681</v>
      </c>
      <c r="BH784" s="7">
        <v>-0.8449</v>
      </c>
      <c r="BI784" s="7">
        <v>0.2651</v>
      </c>
      <c r="BJ784" s="4">
        <v>209</v>
      </c>
      <c r="BK784" s="8">
        <v>4494.53</v>
      </c>
      <c r="BL784" s="2" t="s">
        <v>2611</v>
      </c>
      <c r="BM784" s="7">
        <v>0.0526</v>
      </c>
      <c r="BN784" s="7">
        <v>0.0509</v>
      </c>
      <c r="BO784" s="4">
        <v>11</v>
      </c>
      <c r="BP784" s="8">
        <v>228.69</v>
      </c>
      <c r="BQ784" s="4">
        <v>40</v>
      </c>
      <c r="BR784" s="8">
        <v>750.4</v>
      </c>
      <c r="BS784" s="7">
        <v>-0.725</v>
      </c>
      <c r="BT784" s="7">
        <v>-0.6952</v>
      </c>
      <c r="BU784" s="2" t="s">
        <v>107</v>
      </c>
      <c r="BV784" s="2" t="s">
        <v>108</v>
      </c>
      <c r="BW784" s="2" t="s">
        <v>570</v>
      </c>
      <c r="BX784" s="2" t="s">
        <v>2530</v>
      </c>
      <c r="BY784" s="2" t="s">
        <v>111</v>
      </c>
    </row>
    <row r="785">
      <c r="A785" s="2" t="s">
        <v>2612</v>
      </c>
      <c r="B785" s="2" t="s">
        <v>86</v>
      </c>
      <c r="C785" s="2" t="s">
        <v>2604</v>
      </c>
      <c r="D785" s="2" t="s">
        <v>88</v>
      </c>
      <c r="E785" s="2" t="s">
        <v>88</v>
      </c>
      <c r="F785" s="2" t="s">
        <v>2605</v>
      </c>
      <c r="G785" s="2" t="s">
        <v>2606</v>
      </c>
      <c r="H785" s="2" t="s">
        <v>2607</v>
      </c>
      <c r="I785" s="2" t="s">
        <v>2608</v>
      </c>
      <c r="J785" s="2" t="s">
        <v>93</v>
      </c>
      <c r="K785" s="2" t="s">
        <v>2609</v>
      </c>
      <c r="L785" s="3">
        <v>19.2</v>
      </c>
      <c r="M785" s="3">
        <v>20.16</v>
      </c>
      <c r="N785" s="3">
        <v>39.99</v>
      </c>
      <c r="O785" s="2" t="s">
        <v>95</v>
      </c>
      <c r="P785" s="2" t="s">
        <v>150</v>
      </c>
      <c r="Q785" s="2" t="s">
        <v>97</v>
      </c>
      <c r="R785" s="2" t="s">
        <v>98</v>
      </c>
      <c r="S785" s="2" t="s">
        <v>2610</v>
      </c>
      <c r="T785" s="2" t="s">
        <v>98</v>
      </c>
      <c r="U785" s="2" t="s">
        <v>98</v>
      </c>
      <c r="V785" s="2" t="s">
        <v>617</v>
      </c>
      <c r="W785" s="2" t="s">
        <v>567</v>
      </c>
      <c r="X785" s="2" t="s">
        <v>130</v>
      </c>
      <c r="Y785" s="2" t="s">
        <v>672</v>
      </c>
      <c r="Z785" s="4">
        <v>490</v>
      </c>
      <c r="AA785" s="4">
        <f>=ROUNDDOWN(17.5,0)</f>
      </c>
      <c r="AB785" s="5">
        <v>28</v>
      </c>
      <c r="AC785" s="2" t="s">
        <v>376</v>
      </c>
      <c r="AD785" s="4">
        <v>120</v>
      </c>
      <c r="AE785" s="4">
        <v>348</v>
      </c>
      <c r="AF785" s="6">
        <v>65</v>
      </c>
      <c r="AG785" s="6"/>
      <c r="AH785" s="7">
        <v>1</v>
      </c>
      <c r="AI785" s="4"/>
      <c r="AJ785" s="4">
        <f>=ROUNDDOWN({0},0)</f>
      </c>
      <c r="AK785" s="5">
        <v>2.5</v>
      </c>
      <c r="AL785" s="2" t="s">
        <v>98</v>
      </c>
      <c r="AM785" s="4"/>
      <c r="AN785" s="4"/>
      <c r="AO785" s="7">
        <v>1</v>
      </c>
      <c r="AP785" s="4">
        <v>46</v>
      </c>
      <c r="AQ785" s="8">
        <v>956.34</v>
      </c>
      <c r="AR785" s="4">
        <v>155</v>
      </c>
      <c r="AS785" s="8">
        <v>2907.8</v>
      </c>
      <c r="AT785" s="7">
        <v>-0.7032</v>
      </c>
      <c r="AU785" s="7">
        <v>-0.6711</v>
      </c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>
        <v>0.807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 t="s">
        <v>98</v>
      </c>
      <c r="BJ785" s="4">
        <v>501</v>
      </c>
      <c r="BK785" s="8">
        <v>10780.65</v>
      </c>
      <c r="BL785" s="2" t="s">
        <v>2613</v>
      </c>
      <c r="BM785" s="7">
        <v>0.0918</v>
      </c>
      <c r="BN785" s="7">
        <v>0.0887</v>
      </c>
      <c r="BO785" s="4">
        <v>46</v>
      </c>
      <c r="BP785" s="8">
        <v>956.34</v>
      </c>
      <c r="BQ785" s="4">
        <v>155</v>
      </c>
      <c r="BR785" s="8">
        <v>2907.8</v>
      </c>
      <c r="BS785" s="7">
        <v>-0.7032</v>
      </c>
      <c r="BT785" s="7">
        <v>-0.6711</v>
      </c>
      <c r="BU785" s="2" t="s">
        <v>107</v>
      </c>
      <c r="BV785" s="2" t="s">
        <v>108</v>
      </c>
      <c r="BW785" s="2" t="s">
        <v>570</v>
      </c>
      <c r="BX785" s="2" t="s">
        <v>791</v>
      </c>
      <c r="BY785" s="2" t="s">
        <v>111</v>
      </c>
    </row>
    <row r="786">
      <c r="A786" s="2" t="s">
        <v>2614</v>
      </c>
      <c r="B786" s="2" t="s">
        <v>86</v>
      </c>
      <c r="C786" s="2" t="s">
        <v>2604</v>
      </c>
      <c r="D786" s="2" t="s">
        <v>88</v>
      </c>
      <c r="E786" s="2" t="s">
        <v>88</v>
      </c>
      <c r="F786" s="2" t="s">
        <v>2605</v>
      </c>
      <c r="G786" s="2" t="s">
        <v>2606</v>
      </c>
      <c r="H786" s="2" t="s">
        <v>2607</v>
      </c>
      <c r="I786" s="2" t="s">
        <v>2608</v>
      </c>
      <c r="J786" s="2" t="s">
        <v>331</v>
      </c>
      <c r="K786" s="2" t="s">
        <v>2341</v>
      </c>
      <c r="L786" s="3">
        <v>19.2</v>
      </c>
      <c r="M786" s="3">
        <v>20.16</v>
      </c>
      <c r="N786" s="3">
        <v>39.99</v>
      </c>
      <c r="O786" s="2" t="s">
        <v>95</v>
      </c>
      <c r="P786" s="2" t="s">
        <v>123</v>
      </c>
      <c r="Q786" s="2" t="s">
        <v>97</v>
      </c>
      <c r="R786" s="2" t="s">
        <v>98</v>
      </c>
      <c r="S786" s="2" t="s">
        <v>2615</v>
      </c>
      <c r="T786" s="2" t="s">
        <v>98</v>
      </c>
      <c r="U786" s="2" t="s">
        <v>100</v>
      </c>
      <c r="V786" s="2" t="s">
        <v>617</v>
      </c>
      <c r="W786" s="2" t="s">
        <v>567</v>
      </c>
      <c r="X786" s="2" t="s">
        <v>130</v>
      </c>
      <c r="Y786" s="2" t="s">
        <v>2616</v>
      </c>
      <c r="Z786" s="4">
        <v>345</v>
      </c>
      <c r="AA786" s="4">
        <f>=ROUNDDOWN(19.1666666666667,0)</f>
      </c>
      <c r="AB786" s="5">
        <v>18</v>
      </c>
      <c r="AC786" s="2" t="s">
        <v>624</v>
      </c>
      <c r="AD786" s="4">
        <v>72</v>
      </c>
      <c r="AE786" s="4">
        <v>72</v>
      </c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20</v>
      </c>
      <c r="AQ786" s="8">
        <v>415.8</v>
      </c>
      <c r="AR786" s="4"/>
      <c r="AS786" s="8"/>
      <c r="AT786" s="7"/>
      <c r="AU786" s="7"/>
      <c r="AV786" s="4">
        <v>49</v>
      </c>
      <c r="AW786" s="8">
        <v>1018.71</v>
      </c>
      <c r="AX786" s="4">
        <v>486</v>
      </c>
      <c r="AY786" s="8">
        <v>8436.96</v>
      </c>
      <c r="AZ786" s="7">
        <v>-0.8992</v>
      </c>
      <c r="BA786" s="7">
        <v>-0.8793</v>
      </c>
      <c r="BB786" s="7">
        <v>0.4082</v>
      </c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>
        <v>0.2279</v>
      </c>
      <c r="BJ786" s="4">
        <v>427</v>
      </c>
      <c r="BK786" s="8">
        <v>9032.19</v>
      </c>
      <c r="BL786" s="2" t="s">
        <v>2617</v>
      </c>
      <c r="BM786" s="7">
        <v>0.0468</v>
      </c>
      <c r="BN786" s="7">
        <v>0.046</v>
      </c>
      <c r="BO786" s="4">
        <v>20</v>
      </c>
      <c r="BP786" s="8">
        <v>415.8</v>
      </c>
      <c r="BQ786" s="4"/>
      <c r="BR786" s="8"/>
      <c r="BS786" s="7"/>
      <c r="BT786" s="7"/>
      <c r="BU786" s="2" t="s">
        <v>107</v>
      </c>
      <c r="BV786" s="2" t="s">
        <v>108</v>
      </c>
      <c r="BW786" s="2" t="s">
        <v>2618</v>
      </c>
      <c r="BX786" s="2" t="s">
        <v>2619</v>
      </c>
      <c r="BY786" s="2" t="s">
        <v>111</v>
      </c>
    </row>
    <row r="787">
      <c r="A787" s="2" t="s">
        <v>2620</v>
      </c>
      <c r="B787" s="2" t="s">
        <v>86</v>
      </c>
      <c r="C787" s="2" t="s">
        <v>2604</v>
      </c>
      <c r="D787" s="2" t="s">
        <v>88</v>
      </c>
      <c r="E787" s="2" t="s">
        <v>88</v>
      </c>
      <c r="F787" s="2" t="s">
        <v>2605</v>
      </c>
      <c r="G787" s="2" t="s">
        <v>2606</v>
      </c>
      <c r="H787" s="2" t="s">
        <v>2607</v>
      </c>
      <c r="I787" s="2" t="s">
        <v>2608</v>
      </c>
      <c r="J787" s="2" t="s">
        <v>93</v>
      </c>
      <c r="K787" s="2" t="s">
        <v>2341</v>
      </c>
      <c r="L787" s="3">
        <v>19.2</v>
      </c>
      <c r="M787" s="3">
        <v>20.16</v>
      </c>
      <c r="N787" s="3">
        <v>39.99</v>
      </c>
      <c r="O787" s="2" t="s">
        <v>95</v>
      </c>
      <c r="P787" s="2" t="s">
        <v>123</v>
      </c>
      <c r="Q787" s="2" t="s">
        <v>97</v>
      </c>
      <c r="R787" s="2" t="s">
        <v>98</v>
      </c>
      <c r="S787" s="2" t="s">
        <v>2615</v>
      </c>
      <c r="T787" s="2" t="s">
        <v>98</v>
      </c>
      <c r="U787" s="2" t="s">
        <v>100</v>
      </c>
      <c r="V787" s="2" t="s">
        <v>617</v>
      </c>
      <c r="W787" s="2" t="s">
        <v>567</v>
      </c>
      <c r="X787" s="2" t="s">
        <v>130</v>
      </c>
      <c r="Y787" s="2" t="s">
        <v>654</v>
      </c>
      <c r="Z787" s="4">
        <v>1789</v>
      </c>
      <c r="AA787" s="4">
        <f>=ROUNDDOWN({0},0)</f>
      </c>
      <c r="AB787" s="5"/>
      <c r="AC787" s="2" t="s">
        <v>624</v>
      </c>
      <c r="AD787" s="4">
        <v>280</v>
      </c>
      <c r="AE787" s="4">
        <v>280</v>
      </c>
      <c r="AF787" s="6">
        <v>65</v>
      </c>
      <c r="AG787" s="6"/>
      <c r="AH787" s="7">
        <v>1</v>
      </c>
      <c r="AI787" s="4">
        <v>2</v>
      </c>
      <c r="AJ787" s="4">
        <f>=ROUNDDOWN(6.66666666666667,0)</f>
      </c>
      <c r="AK787" s="5">
        <v>0.3</v>
      </c>
      <c r="AL787" s="2" t="s">
        <v>98</v>
      </c>
      <c r="AM787" s="4"/>
      <c r="AN787" s="4"/>
      <c r="AO787" s="7">
        <v>0.9</v>
      </c>
      <c r="AP787" s="4">
        <v>29</v>
      </c>
      <c r="AQ787" s="8">
        <v>602.91</v>
      </c>
      <c r="AR787" s="4">
        <v>486</v>
      </c>
      <c r="AS787" s="8">
        <v>8436.96</v>
      </c>
      <c r="AT787" s="7">
        <v>-0.9403</v>
      </c>
      <c r="AU787" s="7">
        <v>-0.9285</v>
      </c>
      <c r="AV787" s="4" t="s">
        <v>98</v>
      </c>
      <c r="AW787" s="8" t="s">
        <v>98</v>
      </c>
      <c r="AX787" s="4" t="s">
        <v>98</v>
      </c>
      <c r="AY787" s="8" t="s">
        <v>98</v>
      </c>
      <c r="AZ787" s="7" t="s">
        <v>98</v>
      </c>
      <c r="BA787" s="7" t="s">
        <v>98</v>
      </c>
      <c r="BB787" s="7">
        <v>0.5918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 t="s">
        <v>98</v>
      </c>
      <c r="BJ787" s="4">
        <v>1077</v>
      </c>
      <c r="BK787" s="8">
        <v>23058.86</v>
      </c>
      <c r="BL787" s="2" t="s">
        <v>2621</v>
      </c>
      <c r="BM787" s="7">
        <v>0.0269</v>
      </c>
      <c r="BN787" s="7">
        <v>0.0261</v>
      </c>
      <c r="BO787" s="4">
        <v>29</v>
      </c>
      <c r="BP787" s="8">
        <v>602.91</v>
      </c>
      <c r="BQ787" s="4">
        <v>486</v>
      </c>
      <c r="BR787" s="8">
        <v>8436.96</v>
      </c>
      <c r="BS787" s="7">
        <v>-0.9403</v>
      </c>
      <c r="BT787" s="7">
        <v>-0.9285</v>
      </c>
      <c r="BU787" s="2" t="s">
        <v>107</v>
      </c>
      <c r="BV787" s="2" t="s">
        <v>108</v>
      </c>
      <c r="BW787" s="2" t="s">
        <v>524</v>
      </c>
      <c r="BX787" s="2" t="s">
        <v>1454</v>
      </c>
      <c r="BY787" s="2" t="s">
        <v>111</v>
      </c>
    </row>
    <row r="788">
      <c r="A788" s="2" t="s">
        <v>2622</v>
      </c>
      <c r="B788" s="2" t="s">
        <v>86</v>
      </c>
      <c r="C788" s="2" t="s">
        <v>2604</v>
      </c>
      <c r="D788" s="2" t="s">
        <v>88</v>
      </c>
      <c r="E788" s="2" t="s">
        <v>88</v>
      </c>
      <c r="F788" s="2" t="s">
        <v>2605</v>
      </c>
      <c r="G788" s="2" t="s">
        <v>2606</v>
      </c>
      <c r="H788" s="2" t="s">
        <v>2607</v>
      </c>
      <c r="I788" s="2" t="s">
        <v>2608</v>
      </c>
      <c r="J788" s="2" t="s">
        <v>331</v>
      </c>
      <c r="K788" s="2" t="s">
        <v>2623</v>
      </c>
      <c r="L788" s="3">
        <v>19.2</v>
      </c>
      <c r="M788" s="3">
        <v>20.16</v>
      </c>
      <c r="N788" s="3">
        <v>39.99</v>
      </c>
      <c r="O788" s="2" t="s">
        <v>95</v>
      </c>
      <c r="P788" s="2" t="s">
        <v>123</v>
      </c>
      <c r="Q788" s="2" t="s">
        <v>97</v>
      </c>
      <c r="R788" s="2" t="s">
        <v>98</v>
      </c>
      <c r="S788" s="2" t="s">
        <v>2624</v>
      </c>
      <c r="T788" s="2" t="s">
        <v>98</v>
      </c>
      <c r="U788" s="2" t="s">
        <v>100</v>
      </c>
      <c r="V788" s="2" t="s">
        <v>617</v>
      </c>
      <c r="W788" s="2" t="s">
        <v>567</v>
      </c>
      <c r="X788" s="2" t="s">
        <v>130</v>
      </c>
      <c r="Y788" s="2" t="s">
        <v>2616</v>
      </c>
      <c r="Z788" s="4">
        <v>578</v>
      </c>
      <c r="AA788" s="4">
        <f>=ROUNDDOWN(30.4210526315789,0)</f>
      </c>
      <c r="AB788" s="5">
        <v>19</v>
      </c>
      <c r="AC788" s="2" t="s">
        <v>98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7</v>
      </c>
      <c r="AQ788" s="8">
        <v>145.53</v>
      </c>
      <c r="AR788" s="4"/>
      <c r="AS788" s="8"/>
      <c r="AT788" s="7"/>
      <c r="AU788" s="7"/>
      <c r="AV788" s="4">
        <v>35</v>
      </c>
      <c r="AW788" s="8">
        <v>727.65</v>
      </c>
      <c r="AX788" s="4">
        <v>125</v>
      </c>
      <c r="AY788" s="8">
        <v>2170</v>
      </c>
      <c r="AZ788" s="7">
        <v>-0.72</v>
      </c>
      <c r="BA788" s="7">
        <v>-0.6647</v>
      </c>
      <c r="BB788" s="7">
        <v>0.2</v>
      </c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>
        <v>0.1628</v>
      </c>
      <c r="BJ788" s="4">
        <v>369</v>
      </c>
      <c r="BK788" s="8">
        <v>7765.88</v>
      </c>
      <c r="BL788" s="2" t="s">
        <v>2625</v>
      </c>
      <c r="BM788" s="7">
        <v>0.019</v>
      </c>
      <c r="BN788" s="7">
        <v>0.0187</v>
      </c>
      <c r="BO788" s="4">
        <v>7</v>
      </c>
      <c r="BP788" s="8">
        <v>145.53</v>
      </c>
      <c r="BQ788" s="4"/>
      <c r="BR788" s="8"/>
      <c r="BS788" s="7"/>
      <c r="BT788" s="7"/>
      <c r="BU788" s="2" t="s">
        <v>107</v>
      </c>
      <c r="BV788" s="2" t="s">
        <v>108</v>
      </c>
      <c r="BW788" s="2" t="s">
        <v>2618</v>
      </c>
      <c r="BX788" s="2" t="s">
        <v>2626</v>
      </c>
      <c r="BY788" s="2" t="s">
        <v>111</v>
      </c>
    </row>
    <row r="789">
      <c r="A789" s="2" t="s">
        <v>2627</v>
      </c>
      <c r="B789" s="2" t="s">
        <v>86</v>
      </c>
      <c r="C789" s="2" t="s">
        <v>2604</v>
      </c>
      <c r="D789" s="2" t="s">
        <v>88</v>
      </c>
      <c r="E789" s="2" t="s">
        <v>88</v>
      </c>
      <c r="F789" s="2" t="s">
        <v>2605</v>
      </c>
      <c r="G789" s="2" t="s">
        <v>2606</v>
      </c>
      <c r="H789" s="2" t="s">
        <v>2607</v>
      </c>
      <c r="I789" s="2" t="s">
        <v>2608</v>
      </c>
      <c r="J789" s="2" t="s">
        <v>93</v>
      </c>
      <c r="K789" s="2" t="s">
        <v>2623</v>
      </c>
      <c r="L789" s="3">
        <v>19.2</v>
      </c>
      <c r="M789" s="3">
        <v>20.16</v>
      </c>
      <c r="N789" s="3">
        <v>39.99</v>
      </c>
      <c r="O789" s="2" t="s">
        <v>95</v>
      </c>
      <c r="P789" s="2" t="s">
        <v>123</v>
      </c>
      <c r="Q789" s="2" t="s">
        <v>97</v>
      </c>
      <c r="R789" s="2" t="s">
        <v>98</v>
      </c>
      <c r="S789" s="2" t="s">
        <v>2624</v>
      </c>
      <c r="T789" s="2" t="s">
        <v>98</v>
      </c>
      <c r="U789" s="2" t="s">
        <v>100</v>
      </c>
      <c r="V789" s="2" t="s">
        <v>617</v>
      </c>
      <c r="W789" s="2" t="s">
        <v>567</v>
      </c>
      <c r="X789" s="2" t="s">
        <v>130</v>
      </c>
      <c r="Y789" s="2" t="s">
        <v>654</v>
      </c>
      <c r="Z789" s="4">
        <v>3220</v>
      </c>
      <c r="AA789" s="4">
        <f>=ROUNDDOWN(107.333333333333,0)</f>
      </c>
      <c r="AB789" s="5">
        <v>30</v>
      </c>
      <c r="AC789" s="2" t="s">
        <v>98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28</v>
      </c>
      <c r="AQ789" s="8">
        <v>582.12</v>
      </c>
      <c r="AR789" s="4">
        <v>125</v>
      </c>
      <c r="AS789" s="8">
        <v>2170</v>
      </c>
      <c r="AT789" s="7">
        <v>-0.776</v>
      </c>
      <c r="AU789" s="7">
        <v>-0.7317</v>
      </c>
      <c r="AV789" s="4" t="s">
        <v>98</v>
      </c>
      <c r="AW789" s="8" t="s">
        <v>98</v>
      </c>
      <c r="AX789" s="4" t="s">
        <v>98</v>
      </c>
      <c r="AY789" s="8" t="s">
        <v>98</v>
      </c>
      <c r="AZ789" s="7" t="s">
        <v>98</v>
      </c>
      <c r="BA789" s="7" t="s">
        <v>98</v>
      </c>
      <c r="BB789" s="7">
        <v>0.8</v>
      </c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 t="s">
        <v>98</v>
      </c>
      <c r="BJ789" s="4">
        <v>994</v>
      </c>
      <c r="BK789" s="8">
        <v>21529.59</v>
      </c>
      <c r="BL789" s="2" t="s">
        <v>2158</v>
      </c>
      <c r="BM789" s="7">
        <v>0.0282</v>
      </c>
      <c r="BN789" s="7">
        <v>0.027</v>
      </c>
      <c r="BO789" s="4">
        <v>28</v>
      </c>
      <c r="BP789" s="8">
        <v>582.12</v>
      </c>
      <c r="BQ789" s="4">
        <v>125</v>
      </c>
      <c r="BR789" s="8">
        <v>2170</v>
      </c>
      <c r="BS789" s="7">
        <v>-0.776</v>
      </c>
      <c r="BT789" s="7">
        <v>-0.7317</v>
      </c>
      <c r="BU789" s="2" t="s">
        <v>107</v>
      </c>
      <c r="BV789" s="2" t="s">
        <v>108</v>
      </c>
      <c r="BW789" s="2" t="s">
        <v>524</v>
      </c>
      <c r="BX789" s="2" t="s">
        <v>2360</v>
      </c>
      <c r="BY789" s="2" t="s">
        <v>111</v>
      </c>
    </row>
    <row r="790">
      <c r="A790" s="2" t="s">
        <v>2628</v>
      </c>
      <c r="B790" s="2" t="s">
        <v>86</v>
      </c>
      <c r="C790" s="2" t="s">
        <v>2604</v>
      </c>
      <c r="D790" s="2" t="s">
        <v>88</v>
      </c>
      <c r="E790" s="2" t="s">
        <v>88</v>
      </c>
      <c r="F790" s="2" t="s">
        <v>2605</v>
      </c>
      <c r="G790" s="2" t="s">
        <v>2606</v>
      </c>
      <c r="H790" s="2" t="s">
        <v>2607</v>
      </c>
      <c r="I790" s="2" t="s">
        <v>2608</v>
      </c>
      <c r="J790" s="2" t="s">
        <v>331</v>
      </c>
      <c r="K790" s="2" t="s">
        <v>2629</v>
      </c>
      <c r="L790" s="3">
        <v>19.2</v>
      </c>
      <c r="M790" s="3">
        <v>20.16</v>
      </c>
      <c r="N790" s="3">
        <v>39.99</v>
      </c>
      <c r="O790" s="2" t="s">
        <v>95</v>
      </c>
      <c r="P790" s="2" t="s">
        <v>150</v>
      </c>
      <c r="Q790" s="2" t="s">
        <v>97</v>
      </c>
      <c r="R790" s="2" t="s">
        <v>98</v>
      </c>
      <c r="S790" s="2" t="s">
        <v>2630</v>
      </c>
      <c r="T790" s="2" t="s">
        <v>98</v>
      </c>
      <c r="U790" s="2" t="s">
        <v>100</v>
      </c>
      <c r="V790" s="2" t="s">
        <v>617</v>
      </c>
      <c r="W790" s="2" t="s">
        <v>567</v>
      </c>
      <c r="X790" s="2" t="s">
        <v>130</v>
      </c>
      <c r="Y790" s="2" t="s">
        <v>2616</v>
      </c>
      <c r="Z790" s="4">
        <v>138</v>
      </c>
      <c r="AA790" s="4">
        <f>=ROUNDDOWN(6.27272727272727,0)</f>
      </c>
      <c r="AB790" s="5">
        <v>22</v>
      </c>
      <c r="AC790" s="2" t="s">
        <v>376</v>
      </c>
      <c r="AD790" s="4">
        <v>180</v>
      </c>
      <c r="AE790" s="4">
        <v>600</v>
      </c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5</v>
      </c>
      <c r="AQ790" s="8">
        <v>103.95</v>
      </c>
      <c r="AR790" s="4"/>
      <c r="AS790" s="8"/>
      <c r="AT790" s="7"/>
      <c r="AU790" s="7"/>
      <c r="AV790" s="4">
        <v>34</v>
      </c>
      <c r="AW790" s="8">
        <v>706.86</v>
      </c>
      <c r="AX790" s="4">
        <v>221</v>
      </c>
      <c r="AY790" s="8">
        <v>3836.56</v>
      </c>
      <c r="AZ790" s="7">
        <v>-0.8462</v>
      </c>
      <c r="BA790" s="7">
        <v>-0.8158</v>
      </c>
      <c r="BB790" s="7">
        <v>0.1471</v>
      </c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>
        <v>0.1581</v>
      </c>
      <c r="BJ790" s="4">
        <v>512</v>
      </c>
      <c r="BK790" s="8">
        <v>10935.12</v>
      </c>
      <c r="BL790" s="2" t="s">
        <v>2631</v>
      </c>
      <c r="BM790" s="7">
        <v>0.0098</v>
      </c>
      <c r="BN790" s="7">
        <v>0.0095</v>
      </c>
      <c r="BO790" s="4">
        <v>5</v>
      </c>
      <c r="BP790" s="8">
        <v>103.95</v>
      </c>
      <c r="BQ790" s="4"/>
      <c r="BR790" s="8"/>
      <c r="BS790" s="7"/>
      <c r="BT790" s="7"/>
      <c r="BU790" s="2" t="s">
        <v>107</v>
      </c>
      <c r="BV790" s="2" t="s">
        <v>108</v>
      </c>
      <c r="BW790" s="2" t="s">
        <v>2618</v>
      </c>
      <c r="BX790" s="2" t="s">
        <v>2632</v>
      </c>
      <c r="BY790" s="2" t="s">
        <v>111</v>
      </c>
    </row>
    <row r="791">
      <c r="A791" s="2" t="s">
        <v>2633</v>
      </c>
      <c r="B791" s="2" t="s">
        <v>86</v>
      </c>
      <c r="C791" s="2" t="s">
        <v>2604</v>
      </c>
      <c r="D791" s="2" t="s">
        <v>88</v>
      </c>
      <c r="E791" s="2" t="s">
        <v>88</v>
      </c>
      <c r="F791" s="2" t="s">
        <v>2605</v>
      </c>
      <c r="G791" s="2" t="s">
        <v>2606</v>
      </c>
      <c r="H791" s="2" t="s">
        <v>2607</v>
      </c>
      <c r="I791" s="2" t="s">
        <v>2608</v>
      </c>
      <c r="J791" s="2" t="s">
        <v>93</v>
      </c>
      <c r="K791" s="2" t="s">
        <v>2629</v>
      </c>
      <c r="L791" s="3">
        <v>19.2</v>
      </c>
      <c r="M791" s="3">
        <v>20.16</v>
      </c>
      <c r="N791" s="3">
        <v>39.99</v>
      </c>
      <c r="O791" s="2" t="s">
        <v>95</v>
      </c>
      <c r="P791" s="2" t="s">
        <v>150</v>
      </c>
      <c r="Q791" s="2" t="s">
        <v>97</v>
      </c>
      <c r="R791" s="2" t="s">
        <v>98</v>
      </c>
      <c r="S791" s="2" t="s">
        <v>2630</v>
      </c>
      <c r="T791" s="2" t="s">
        <v>98</v>
      </c>
      <c r="U791" s="2" t="s">
        <v>100</v>
      </c>
      <c r="V791" s="2" t="s">
        <v>617</v>
      </c>
      <c r="W791" s="2" t="s">
        <v>567</v>
      </c>
      <c r="X791" s="2" t="s">
        <v>130</v>
      </c>
      <c r="Y791" s="2" t="s">
        <v>654</v>
      </c>
      <c r="Z791" s="4">
        <v>394</v>
      </c>
      <c r="AA791" s="4">
        <f>=ROUNDDOWN(8.75555555555555,0)</f>
      </c>
      <c r="AB791" s="5">
        <v>45</v>
      </c>
      <c r="AC791" s="2" t="s">
        <v>224</v>
      </c>
      <c r="AD791" s="4">
        <v>400</v>
      </c>
      <c r="AE791" s="4">
        <v>1240</v>
      </c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29</v>
      </c>
      <c r="AQ791" s="8">
        <v>602.91</v>
      </c>
      <c r="AR791" s="4">
        <v>221</v>
      </c>
      <c r="AS791" s="8">
        <v>3836.56</v>
      </c>
      <c r="AT791" s="7">
        <v>-0.8688</v>
      </c>
      <c r="AU791" s="7">
        <v>-0.8429</v>
      </c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>
        <v>0.8529</v>
      </c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 t="s">
        <v>98</v>
      </c>
      <c r="BJ791" s="4">
        <v>898</v>
      </c>
      <c r="BK791" s="8">
        <v>19534.68</v>
      </c>
      <c r="BL791" s="2" t="s">
        <v>2634</v>
      </c>
      <c r="BM791" s="7">
        <v>0.0323</v>
      </c>
      <c r="BN791" s="7">
        <v>0.0309</v>
      </c>
      <c r="BO791" s="4">
        <v>29</v>
      </c>
      <c r="BP791" s="8">
        <v>602.91</v>
      </c>
      <c r="BQ791" s="4">
        <v>221</v>
      </c>
      <c r="BR791" s="8">
        <v>3836.56</v>
      </c>
      <c r="BS791" s="7">
        <v>-0.8688</v>
      </c>
      <c r="BT791" s="7">
        <v>-0.8429</v>
      </c>
      <c r="BU791" s="2" t="s">
        <v>107</v>
      </c>
      <c r="BV791" s="2" t="s">
        <v>108</v>
      </c>
      <c r="BW791" s="2" t="s">
        <v>524</v>
      </c>
      <c r="BX791" s="2" t="s">
        <v>2635</v>
      </c>
      <c r="BY791" s="2" t="s">
        <v>111</v>
      </c>
    </row>
    <row r="792">
      <c r="A792" s="2" t="s">
        <v>2636</v>
      </c>
      <c r="B792" s="2" t="s">
        <v>86</v>
      </c>
      <c r="C792" s="2" t="s">
        <v>2604</v>
      </c>
      <c r="D792" s="2" t="s">
        <v>88</v>
      </c>
      <c r="E792" s="2" t="s">
        <v>88</v>
      </c>
      <c r="F792" s="2" t="s">
        <v>2605</v>
      </c>
      <c r="G792" s="2" t="s">
        <v>2606</v>
      </c>
      <c r="H792" s="2" t="s">
        <v>2607</v>
      </c>
      <c r="I792" s="2" t="s">
        <v>2608</v>
      </c>
      <c r="J792" s="2" t="s">
        <v>331</v>
      </c>
      <c r="K792" s="2" t="s">
        <v>2637</v>
      </c>
      <c r="L792" s="3">
        <v>19.2</v>
      </c>
      <c r="M792" s="3">
        <v>20.16</v>
      </c>
      <c r="N792" s="3">
        <v>39.99</v>
      </c>
      <c r="O792" s="2" t="s">
        <v>95</v>
      </c>
      <c r="P792" s="2" t="s">
        <v>215</v>
      </c>
      <c r="Q792" s="2" t="s">
        <v>97</v>
      </c>
      <c r="R792" s="2" t="s">
        <v>98</v>
      </c>
      <c r="S792" s="2" t="s">
        <v>2638</v>
      </c>
      <c r="T792" s="2" t="s">
        <v>98</v>
      </c>
      <c r="U792" s="2" t="s">
        <v>98</v>
      </c>
      <c r="V792" s="2" t="s">
        <v>617</v>
      </c>
      <c r="W792" s="2" t="s">
        <v>567</v>
      </c>
      <c r="X792" s="2" t="s">
        <v>130</v>
      </c>
      <c r="Y792" s="2" t="s">
        <v>672</v>
      </c>
      <c r="Z792" s="4">
        <v>315</v>
      </c>
      <c r="AA792" s="4">
        <f>=ROUNDDOWN(45,0)</f>
      </c>
      <c r="AB792" s="5">
        <v>7</v>
      </c>
      <c r="AC792" s="2" t="s">
        <v>98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6</v>
      </c>
      <c r="AQ792" s="8">
        <v>124.74</v>
      </c>
      <c r="AR792" s="4">
        <v>31</v>
      </c>
      <c r="AS792" s="8">
        <v>581.56</v>
      </c>
      <c r="AT792" s="7">
        <v>-0.8065</v>
      </c>
      <c r="AU792" s="7">
        <v>-0.7855</v>
      </c>
      <c r="AV792" s="4">
        <v>28</v>
      </c>
      <c r="AW792" s="8">
        <v>582.12</v>
      </c>
      <c r="AX792" s="4">
        <v>182</v>
      </c>
      <c r="AY792" s="8">
        <v>3414.32</v>
      </c>
      <c r="AZ792" s="7">
        <v>-0.8462</v>
      </c>
      <c r="BA792" s="7">
        <v>-0.8295</v>
      </c>
      <c r="BB792" s="7">
        <v>0.2143</v>
      </c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>
        <v>0.1302</v>
      </c>
      <c r="BJ792" s="4">
        <v>84</v>
      </c>
      <c r="BK792" s="8">
        <v>1795.07</v>
      </c>
      <c r="BL792" s="2" t="s">
        <v>655</v>
      </c>
      <c r="BM792" s="7">
        <v>0.0714</v>
      </c>
      <c r="BN792" s="7">
        <v>0.0695</v>
      </c>
      <c r="BO792" s="4">
        <v>6</v>
      </c>
      <c r="BP792" s="8">
        <v>124.74</v>
      </c>
      <c r="BQ792" s="4">
        <v>31</v>
      </c>
      <c r="BR792" s="8">
        <v>581.56</v>
      </c>
      <c r="BS792" s="7">
        <v>-0.8065</v>
      </c>
      <c r="BT792" s="7">
        <v>-0.7855</v>
      </c>
      <c r="BU792" s="2" t="s">
        <v>107</v>
      </c>
      <c r="BV792" s="2" t="s">
        <v>108</v>
      </c>
      <c r="BW792" s="2" t="s">
        <v>570</v>
      </c>
      <c r="BX792" s="2" t="s">
        <v>2639</v>
      </c>
      <c r="BY792" s="2" t="s">
        <v>111</v>
      </c>
    </row>
    <row r="793">
      <c r="A793" s="2" t="s">
        <v>2640</v>
      </c>
      <c r="B793" s="2" t="s">
        <v>86</v>
      </c>
      <c r="C793" s="2" t="s">
        <v>2604</v>
      </c>
      <c r="D793" s="2" t="s">
        <v>88</v>
      </c>
      <c r="E793" s="2" t="s">
        <v>88</v>
      </c>
      <c r="F793" s="2" t="s">
        <v>2605</v>
      </c>
      <c r="G793" s="2" t="s">
        <v>2606</v>
      </c>
      <c r="H793" s="2" t="s">
        <v>2607</v>
      </c>
      <c r="I793" s="2" t="s">
        <v>2608</v>
      </c>
      <c r="J793" s="2" t="s">
        <v>93</v>
      </c>
      <c r="K793" s="2" t="s">
        <v>2637</v>
      </c>
      <c r="L793" s="3">
        <v>19.2</v>
      </c>
      <c r="M793" s="3">
        <v>20.16</v>
      </c>
      <c r="N793" s="3">
        <v>39.99</v>
      </c>
      <c r="O793" s="2" t="s">
        <v>95</v>
      </c>
      <c r="P793" s="2" t="s">
        <v>215</v>
      </c>
      <c r="Q793" s="2" t="s">
        <v>97</v>
      </c>
      <c r="R793" s="2" t="s">
        <v>98</v>
      </c>
      <c r="S793" s="2" t="s">
        <v>2638</v>
      </c>
      <c r="T793" s="2" t="s">
        <v>98</v>
      </c>
      <c r="U793" s="2" t="s">
        <v>98</v>
      </c>
      <c r="V793" s="2" t="s">
        <v>617</v>
      </c>
      <c r="W793" s="2" t="s">
        <v>567</v>
      </c>
      <c r="X793" s="2" t="s">
        <v>130</v>
      </c>
      <c r="Y793" s="2" t="s">
        <v>672</v>
      </c>
      <c r="Z793" s="4">
        <v>304</v>
      </c>
      <c r="AA793" s="4">
        <f>=ROUNDDOWN(33.7777777777778,0)</f>
      </c>
      <c r="AB793" s="5">
        <v>9</v>
      </c>
      <c r="AC793" s="2" t="s">
        <v>98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22</v>
      </c>
      <c r="AQ793" s="8">
        <v>457.38</v>
      </c>
      <c r="AR793" s="4">
        <v>151</v>
      </c>
      <c r="AS793" s="8">
        <v>2832.76</v>
      </c>
      <c r="AT793" s="7">
        <v>-0.8543</v>
      </c>
      <c r="AU793" s="7">
        <v>-0.8385</v>
      </c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>
        <v>0.7857</v>
      </c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 t="s">
        <v>98</v>
      </c>
      <c r="BJ793" s="4">
        <v>181</v>
      </c>
      <c r="BK793" s="8">
        <v>3903.86</v>
      </c>
      <c r="BL793" s="2" t="s">
        <v>395</v>
      </c>
      <c r="BM793" s="7">
        <v>0.1215</v>
      </c>
      <c r="BN793" s="7">
        <v>0.1172</v>
      </c>
      <c r="BO793" s="4">
        <v>22</v>
      </c>
      <c r="BP793" s="8">
        <v>457.38</v>
      </c>
      <c r="BQ793" s="4">
        <v>151</v>
      </c>
      <c r="BR793" s="8">
        <v>2832.76</v>
      </c>
      <c r="BS793" s="7">
        <v>-0.8543</v>
      </c>
      <c r="BT793" s="7">
        <v>-0.8385</v>
      </c>
      <c r="BU793" s="2" t="s">
        <v>107</v>
      </c>
      <c r="BV793" s="2" t="s">
        <v>108</v>
      </c>
      <c r="BW793" s="2" t="s">
        <v>570</v>
      </c>
      <c r="BX793" s="2" t="s">
        <v>791</v>
      </c>
      <c r="BY793" s="2" t="s">
        <v>111</v>
      </c>
    </row>
    <row r="794">
      <c r="A794" s="2" t="s">
        <v>2641</v>
      </c>
      <c r="B794" s="2" t="s">
        <v>86</v>
      </c>
      <c r="C794" s="2" t="s">
        <v>2604</v>
      </c>
      <c r="D794" s="2" t="s">
        <v>88</v>
      </c>
      <c r="E794" s="2" t="s">
        <v>88</v>
      </c>
      <c r="F794" s="2" t="s">
        <v>2605</v>
      </c>
      <c r="G794" s="2" t="s">
        <v>2606</v>
      </c>
      <c r="H794" s="2" t="s">
        <v>2607</v>
      </c>
      <c r="I794" s="2" t="s">
        <v>2608</v>
      </c>
      <c r="J794" s="2" t="s">
        <v>331</v>
      </c>
      <c r="K794" s="2" t="s">
        <v>2642</v>
      </c>
      <c r="L794" s="3">
        <v>19.2</v>
      </c>
      <c r="M794" s="3">
        <v>20.16</v>
      </c>
      <c r="N794" s="3">
        <v>39.99</v>
      </c>
      <c r="O794" s="2" t="s">
        <v>95</v>
      </c>
      <c r="P794" s="2" t="s">
        <v>129</v>
      </c>
      <c r="Q794" s="2" t="s">
        <v>97</v>
      </c>
      <c r="R794" s="2" t="s">
        <v>98</v>
      </c>
      <c r="S794" s="2" t="s">
        <v>2643</v>
      </c>
      <c r="T794" s="2" t="s">
        <v>98</v>
      </c>
      <c r="U794" s="2" t="s">
        <v>100</v>
      </c>
      <c r="V794" s="2" t="s">
        <v>617</v>
      </c>
      <c r="W794" s="2" t="s">
        <v>567</v>
      </c>
      <c r="X794" s="2" t="s">
        <v>130</v>
      </c>
      <c r="Y794" s="2" t="s">
        <v>2616</v>
      </c>
      <c r="Z794" s="4">
        <v>1</v>
      </c>
      <c r="AA794" s="4">
        <f>=ROUNDDOWN(0.0526315789473684,0)</f>
      </c>
      <c r="AB794" s="5">
        <v>19</v>
      </c>
      <c r="AC794" s="2" t="s">
        <v>707</v>
      </c>
      <c r="AD794" s="4">
        <v>200</v>
      </c>
      <c r="AE794" s="4">
        <v>520</v>
      </c>
      <c r="AF794" s="6">
        <v>65</v>
      </c>
      <c r="AG794" s="6"/>
      <c r="AH794" s="7">
        <v>1</v>
      </c>
      <c r="AI794" s="4">
        <v>2</v>
      </c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6</v>
      </c>
      <c r="AQ794" s="8">
        <v>124.74</v>
      </c>
      <c r="AR794" s="4">
        <v>75</v>
      </c>
      <c r="AS794" s="8">
        <v>1302</v>
      </c>
      <c r="AT794" s="7">
        <v>-0.92</v>
      </c>
      <c r="AU794" s="7">
        <v>-0.9042</v>
      </c>
      <c r="AV794" s="4">
        <v>12</v>
      </c>
      <c r="AW794" s="8">
        <v>249.48</v>
      </c>
      <c r="AX794" s="4">
        <v>421</v>
      </c>
      <c r="AY794" s="8">
        <v>7308.56</v>
      </c>
      <c r="AZ794" s="7">
        <v>-0.9715</v>
      </c>
      <c r="BA794" s="7">
        <v>-0.9659</v>
      </c>
      <c r="BB794" s="7">
        <v>0.5</v>
      </c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0.0558</v>
      </c>
      <c r="BJ794" s="4">
        <v>245</v>
      </c>
      <c r="BK794" s="8">
        <v>5116.15</v>
      </c>
      <c r="BL794" s="2" t="s">
        <v>1320</v>
      </c>
      <c r="BM794" s="7">
        <v>0.0245</v>
      </c>
      <c r="BN794" s="7">
        <v>0.0244</v>
      </c>
      <c r="BO794" s="4">
        <v>6</v>
      </c>
      <c r="BP794" s="8">
        <v>124.74</v>
      </c>
      <c r="BQ794" s="4">
        <v>75</v>
      </c>
      <c r="BR794" s="8">
        <v>1302</v>
      </c>
      <c r="BS794" s="7">
        <v>-0.92</v>
      </c>
      <c r="BT794" s="7">
        <v>-0.9042</v>
      </c>
      <c r="BU794" s="2" t="s">
        <v>107</v>
      </c>
      <c r="BV794" s="2" t="s">
        <v>108</v>
      </c>
      <c r="BW794" s="2" t="s">
        <v>2124</v>
      </c>
      <c r="BX794" s="2" t="s">
        <v>2644</v>
      </c>
      <c r="BY794" s="2" t="s">
        <v>111</v>
      </c>
    </row>
    <row r="795">
      <c r="A795" s="2" t="s">
        <v>2645</v>
      </c>
      <c r="B795" s="2" t="s">
        <v>86</v>
      </c>
      <c r="C795" s="2" t="s">
        <v>2604</v>
      </c>
      <c r="D795" s="2" t="s">
        <v>88</v>
      </c>
      <c r="E795" s="2" t="s">
        <v>88</v>
      </c>
      <c r="F795" s="2" t="s">
        <v>2605</v>
      </c>
      <c r="G795" s="2" t="s">
        <v>2606</v>
      </c>
      <c r="H795" s="2" t="s">
        <v>2607</v>
      </c>
      <c r="I795" s="2" t="s">
        <v>2608</v>
      </c>
      <c r="J795" s="2" t="s">
        <v>93</v>
      </c>
      <c r="K795" s="2" t="s">
        <v>2642</v>
      </c>
      <c r="L795" s="3">
        <v>19.2</v>
      </c>
      <c r="M795" s="3">
        <v>20.16</v>
      </c>
      <c r="N795" s="3">
        <v>39.99</v>
      </c>
      <c r="O795" s="2" t="s">
        <v>95</v>
      </c>
      <c r="P795" s="2" t="s">
        <v>129</v>
      </c>
      <c r="Q795" s="2" t="s">
        <v>97</v>
      </c>
      <c r="R795" s="2" t="s">
        <v>98</v>
      </c>
      <c r="S795" s="2" t="s">
        <v>2643</v>
      </c>
      <c r="T795" s="2" t="s">
        <v>98</v>
      </c>
      <c r="U795" s="2" t="s">
        <v>98</v>
      </c>
      <c r="V795" s="2" t="s">
        <v>617</v>
      </c>
      <c r="W795" s="2" t="s">
        <v>567</v>
      </c>
      <c r="X795" s="2" t="s">
        <v>130</v>
      </c>
      <c r="Y795" s="2" t="s">
        <v>2616</v>
      </c>
      <c r="Z795" s="4">
        <v>703</v>
      </c>
      <c r="AA795" s="4">
        <f>=ROUNDDOWN(17.1463414634146,0)</f>
      </c>
      <c r="AB795" s="5">
        <v>41</v>
      </c>
      <c r="AC795" s="2" t="s">
        <v>250</v>
      </c>
      <c r="AD795" s="4">
        <v>324</v>
      </c>
      <c r="AE795" s="4">
        <v>740</v>
      </c>
      <c r="AF795" s="6">
        <v>65</v>
      </c>
      <c r="AG795" s="6"/>
      <c r="AH795" s="7">
        <v>1</v>
      </c>
      <c r="AI795" s="4"/>
      <c r="AJ795" s="4">
        <f>=ROUNDDOWN({0},0)</f>
      </c>
      <c r="AK795" s="5">
        <v>1.9</v>
      </c>
      <c r="AL795" s="2" t="s">
        <v>98</v>
      </c>
      <c r="AM795" s="4"/>
      <c r="AN795" s="4"/>
      <c r="AO795" s="7">
        <v>0.5667</v>
      </c>
      <c r="AP795" s="4">
        <v>6</v>
      </c>
      <c r="AQ795" s="8">
        <v>124.74</v>
      </c>
      <c r="AR795" s="4">
        <v>346</v>
      </c>
      <c r="AS795" s="8">
        <v>6006.56</v>
      </c>
      <c r="AT795" s="7">
        <v>-0.9827</v>
      </c>
      <c r="AU795" s="7">
        <v>-0.9792</v>
      </c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>
        <v>0.5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 t="s">
        <v>98</v>
      </c>
      <c r="BJ795" s="4">
        <v>719</v>
      </c>
      <c r="BK795" s="8">
        <v>15084.52</v>
      </c>
      <c r="BL795" s="2" t="s">
        <v>2617</v>
      </c>
      <c r="BM795" s="7">
        <v>0.0083</v>
      </c>
      <c r="BN795" s="7">
        <v>0.0083</v>
      </c>
      <c r="BO795" s="4">
        <v>6</v>
      </c>
      <c r="BP795" s="8">
        <v>124.74</v>
      </c>
      <c r="BQ795" s="4">
        <v>346</v>
      </c>
      <c r="BR795" s="8">
        <v>6006.56</v>
      </c>
      <c r="BS795" s="7">
        <v>-0.9827</v>
      </c>
      <c r="BT795" s="7">
        <v>-0.9792</v>
      </c>
      <c r="BU795" s="2" t="s">
        <v>107</v>
      </c>
      <c r="BV795" s="2" t="s">
        <v>108</v>
      </c>
      <c r="BW795" s="2" t="s">
        <v>2124</v>
      </c>
      <c r="BX795" s="2" t="s">
        <v>2057</v>
      </c>
      <c r="BY795" s="2" t="s">
        <v>111</v>
      </c>
    </row>
    <row r="796">
      <c r="A796" s="2" t="s">
        <v>2646</v>
      </c>
      <c r="B796" s="2" t="s">
        <v>86</v>
      </c>
      <c r="C796" s="2" t="s">
        <v>2604</v>
      </c>
      <c r="D796" s="2" t="s">
        <v>88</v>
      </c>
      <c r="E796" s="2" t="s">
        <v>88</v>
      </c>
      <c r="F796" s="2" t="s">
        <v>2647</v>
      </c>
      <c r="G796" s="2" t="s">
        <v>2648</v>
      </c>
      <c r="H796" s="2" t="s">
        <v>2649</v>
      </c>
      <c r="I796" s="2" t="s">
        <v>2650</v>
      </c>
      <c r="J796" s="2" t="s">
        <v>331</v>
      </c>
      <c r="K796" s="2" t="s">
        <v>290</v>
      </c>
      <c r="L796" s="3">
        <v>12.3</v>
      </c>
      <c r="M796" s="3">
        <v>12.92</v>
      </c>
      <c r="N796" s="3">
        <v>29.99</v>
      </c>
      <c r="O796" s="2" t="s">
        <v>95</v>
      </c>
      <c r="P796" s="2" t="s">
        <v>465</v>
      </c>
      <c r="Q796" s="2" t="s">
        <v>97</v>
      </c>
      <c r="R796" s="2" t="s">
        <v>98</v>
      </c>
      <c r="S796" s="2" t="s">
        <v>2651</v>
      </c>
      <c r="T796" s="2" t="s">
        <v>1796</v>
      </c>
      <c r="U796" s="2" t="s">
        <v>100</v>
      </c>
      <c r="V796" s="2" t="s">
        <v>2652</v>
      </c>
      <c r="W796" s="2" t="s">
        <v>567</v>
      </c>
      <c r="X796" s="2" t="s">
        <v>98</v>
      </c>
      <c r="Y796" s="2" t="s">
        <v>1797</v>
      </c>
      <c r="Z796" s="4">
        <v>247</v>
      </c>
      <c r="AA796" s="4">
        <f>=ROUNDDOWN(27.4444444444444,0)</f>
      </c>
      <c r="AB796" s="5"/>
      <c r="AC796" s="2" t="s">
        <v>98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14</v>
      </c>
      <c r="AQ796" s="8">
        <v>197.4</v>
      </c>
      <c r="AR796" s="4"/>
      <c r="AS796" s="8"/>
      <c r="AT796" s="7"/>
      <c r="AU796" s="7"/>
      <c r="AV796" s="4">
        <v>31</v>
      </c>
      <c r="AW796" s="8">
        <v>471.1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>
        <v>0.419</v>
      </c>
      <c r="BC796" s="4">
        <v>56</v>
      </c>
      <c r="BD796" s="8">
        <v>797.07</v>
      </c>
      <c r="BE796" s="4">
        <v>79</v>
      </c>
      <c r="BF796" s="8">
        <v>962.04</v>
      </c>
      <c r="BG796" s="7">
        <v>-0.2911</v>
      </c>
      <c r="BH796" s="7">
        <v>-0.1715</v>
      </c>
      <c r="BI796" s="7">
        <v>0.591</v>
      </c>
      <c r="BJ796" s="4">
        <v>103</v>
      </c>
      <c r="BK796" s="8">
        <v>1313.5</v>
      </c>
      <c r="BL796" s="2" t="s">
        <v>2653</v>
      </c>
      <c r="BM796" s="7">
        <v>0.1359</v>
      </c>
      <c r="BN796" s="7">
        <v>0.1503</v>
      </c>
      <c r="BO796" s="4">
        <v>14</v>
      </c>
      <c r="BP796" s="8">
        <v>197.4</v>
      </c>
      <c r="BQ796" s="4"/>
      <c r="BR796" s="8"/>
      <c r="BS796" s="7"/>
      <c r="BT796" s="7"/>
      <c r="BU796" s="2" t="s">
        <v>211</v>
      </c>
      <c r="BV796" s="2" t="s">
        <v>95</v>
      </c>
      <c r="BW796" s="2" t="s">
        <v>606</v>
      </c>
      <c r="BX796" s="2" t="s">
        <v>2654</v>
      </c>
      <c r="BY796" s="2" t="s">
        <v>111</v>
      </c>
    </row>
    <row r="797">
      <c r="A797" s="2" t="s">
        <v>2655</v>
      </c>
      <c r="B797" s="2" t="s">
        <v>86</v>
      </c>
      <c r="C797" s="2" t="s">
        <v>2604</v>
      </c>
      <c r="D797" s="2" t="s">
        <v>88</v>
      </c>
      <c r="E797" s="2" t="s">
        <v>88</v>
      </c>
      <c r="F797" s="2" t="s">
        <v>2647</v>
      </c>
      <c r="G797" s="2" t="s">
        <v>2648</v>
      </c>
      <c r="H797" s="2" t="s">
        <v>2649</v>
      </c>
      <c r="I797" s="2" t="s">
        <v>2650</v>
      </c>
      <c r="J797" s="2" t="s">
        <v>93</v>
      </c>
      <c r="K797" s="2" t="s">
        <v>290</v>
      </c>
      <c r="L797" s="3">
        <v>14</v>
      </c>
      <c r="M797" s="3">
        <v>14.7</v>
      </c>
      <c r="N797" s="3">
        <v>34.99</v>
      </c>
      <c r="O797" s="2" t="s">
        <v>95</v>
      </c>
      <c r="P797" s="2" t="s">
        <v>465</v>
      </c>
      <c r="Q797" s="2" t="s">
        <v>97</v>
      </c>
      <c r="R797" s="2" t="s">
        <v>98</v>
      </c>
      <c r="S797" s="2" t="s">
        <v>2651</v>
      </c>
      <c r="T797" s="2" t="s">
        <v>1796</v>
      </c>
      <c r="U797" s="2" t="s">
        <v>100</v>
      </c>
      <c r="V797" s="2" t="s">
        <v>2652</v>
      </c>
      <c r="W797" s="2" t="s">
        <v>567</v>
      </c>
      <c r="X797" s="2" t="s">
        <v>98</v>
      </c>
      <c r="Y797" s="2" t="s">
        <v>1797</v>
      </c>
      <c r="Z797" s="4">
        <v>437</v>
      </c>
      <c r="AA797" s="4">
        <f>=ROUNDDOWN(27.3125,0)</f>
      </c>
      <c r="AB797" s="5">
        <v>16</v>
      </c>
      <c r="AC797" s="2" t="s">
        <v>98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17</v>
      </c>
      <c r="AQ797" s="8">
        <v>273.7</v>
      </c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>
        <v>0.581</v>
      </c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 t="s">
        <v>98</v>
      </c>
      <c r="BJ797" s="4">
        <v>240</v>
      </c>
      <c r="BK797" s="8">
        <v>3526.38</v>
      </c>
      <c r="BL797" s="2" t="s">
        <v>673</v>
      </c>
      <c r="BM797" s="7">
        <v>0.0708</v>
      </c>
      <c r="BN797" s="7">
        <v>0.0776</v>
      </c>
      <c r="BO797" s="4">
        <v>17</v>
      </c>
      <c r="BP797" s="8">
        <v>273.7</v>
      </c>
      <c r="BQ797" s="4"/>
      <c r="BR797" s="8"/>
      <c r="BS797" s="7"/>
      <c r="BT797" s="7"/>
      <c r="BU797" s="2" t="s">
        <v>211</v>
      </c>
      <c r="BV797" s="2" t="s">
        <v>95</v>
      </c>
      <c r="BW797" s="2" t="s">
        <v>2656</v>
      </c>
      <c r="BX797" s="2" t="s">
        <v>2654</v>
      </c>
      <c r="BY797" s="2" t="s">
        <v>111</v>
      </c>
    </row>
    <row r="798">
      <c r="A798" s="2" t="s">
        <v>2657</v>
      </c>
      <c r="B798" s="2" t="s">
        <v>86</v>
      </c>
      <c r="C798" s="2" t="s">
        <v>2604</v>
      </c>
      <c r="D798" s="2" t="s">
        <v>88</v>
      </c>
      <c r="E798" s="2" t="s">
        <v>88</v>
      </c>
      <c r="F798" s="2" t="s">
        <v>2647</v>
      </c>
      <c r="G798" s="2" t="s">
        <v>2648</v>
      </c>
      <c r="H798" s="2" t="s">
        <v>2649</v>
      </c>
      <c r="I798" s="2" t="s">
        <v>2658</v>
      </c>
      <c r="J798" s="2" t="s">
        <v>331</v>
      </c>
      <c r="K798" s="2" t="s">
        <v>458</v>
      </c>
      <c r="L798" s="3">
        <v>12.3</v>
      </c>
      <c r="M798" s="3">
        <v>12.92</v>
      </c>
      <c r="N798" s="3">
        <v>29.99</v>
      </c>
      <c r="O798" s="2" t="s">
        <v>241</v>
      </c>
      <c r="P798" s="2" t="s">
        <v>465</v>
      </c>
      <c r="Q798" s="2" t="s">
        <v>97</v>
      </c>
      <c r="R798" s="2" t="s">
        <v>98</v>
      </c>
      <c r="S798" s="2" t="s">
        <v>2659</v>
      </c>
      <c r="T798" s="2" t="s">
        <v>98</v>
      </c>
      <c r="U798" s="2" t="s">
        <v>100</v>
      </c>
      <c r="V798" s="2" t="s">
        <v>2652</v>
      </c>
      <c r="W798" s="2" t="s">
        <v>567</v>
      </c>
      <c r="X798" s="2" t="s">
        <v>98</v>
      </c>
      <c r="Y798" s="2" t="s">
        <v>2660</v>
      </c>
      <c r="Z798" s="4"/>
      <c r="AA798" s="4">
        <f>=ROUNDDOWN({0},0)</f>
      </c>
      <c r="AB798" s="5">
        <v>6</v>
      </c>
      <c r="AC798" s="2" t="s">
        <v>98</v>
      </c>
      <c r="AD798" s="4"/>
      <c r="AE798" s="4"/>
      <c r="AF798" s="6">
        <v>65</v>
      </c>
      <c r="AG798" s="6"/>
      <c r="AH798" s="7">
        <v>0.3111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>
        <v>18</v>
      </c>
      <c r="AS798" s="8">
        <v>203.76</v>
      </c>
      <c r="AT798" s="7">
        <v>-1</v>
      </c>
      <c r="AU798" s="7">
        <v>-1</v>
      </c>
      <c r="AV798" s="4">
        <v>7</v>
      </c>
      <c r="AW798" s="8">
        <v>112.7</v>
      </c>
      <c r="AX798" s="4">
        <v>28</v>
      </c>
      <c r="AY798" s="8">
        <v>332.36</v>
      </c>
      <c r="AZ798" s="7">
        <v>-0.75</v>
      </c>
      <c r="BA798" s="7">
        <v>-0.6609</v>
      </c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>
        <v>0.1414</v>
      </c>
      <c r="BJ798" s="4">
        <v>55</v>
      </c>
      <c r="BK798" s="8">
        <v>698.3</v>
      </c>
      <c r="BL798" s="2" t="s">
        <v>2017</v>
      </c>
      <c r="BM798" s="7"/>
      <c r="BN798" s="7"/>
      <c r="BO798" s="4"/>
      <c r="BP798" s="8"/>
      <c r="BQ798" s="4">
        <v>18</v>
      </c>
      <c r="BR798" s="8">
        <v>203.76</v>
      </c>
      <c r="BS798" s="7">
        <v>-1</v>
      </c>
      <c r="BT798" s="7">
        <v>-1</v>
      </c>
      <c r="BU798" s="2" t="s">
        <v>211</v>
      </c>
      <c r="BV798" s="2" t="s">
        <v>352</v>
      </c>
      <c r="BW798" s="2" t="s">
        <v>570</v>
      </c>
      <c r="BX798" s="2" t="s">
        <v>2446</v>
      </c>
      <c r="BY798" s="2" t="s">
        <v>111</v>
      </c>
    </row>
    <row r="799">
      <c r="A799" s="2" t="s">
        <v>2661</v>
      </c>
      <c r="B799" s="2" t="s">
        <v>86</v>
      </c>
      <c r="C799" s="2" t="s">
        <v>2604</v>
      </c>
      <c r="D799" s="2" t="s">
        <v>88</v>
      </c>
      <c r="E799" s="2" t="s">
        <v>88</v>
      </c>
      <c r="F799" s="2" t="s">
        <v>2647</v>
      </c>
      <c r="G799" s="2" t="s">
        <v>2648</v>
      </c>
      <c r="H799" s="2" t="s">
        <v>2649</v>
      </c>
      <c r="I799" s="2" t="s">
        <v>2650</v>
      </c>
      <c r="J799" s="2" t="s">
        <v>93</v>
      </c>
      <c r="K799" s="2" t="s">
        <v>458</v>
      </c>
      <c r="L799" s="3">
        <v>14</v>
      </c>
      <c r="M799" s="3">
        <v>14.7</v>
      </c>
      <c r="N799" s="3">
        <v>34.99</v>
      </c>
      <c r="O799" s="2" t="s">
        <v>95</v>
      </c>
      <c r="P799" s="2" t="s">
        <v>215</v>
      </c>
      <c r="Q799" s="2" t="s">
        <v>97</v>
      </c>
      <c r="R799" s="2" t="s">
        <v>98</v>
      </c>
      <c r="S799" s="2" t="s">
        <v>2659</v>
      </c>
      <c r="T799" s="2" t="s">
        <v>98</v>
      </c>
      <c r="U799" s="2" t="s">
        <v>100</v>
      </c>
      <c r="V799" s="2" t="s">
        <v>2652</v>
      </c>
      <c r="W799" s="2" t="s">
        <v>567</v>
      </c>
      <c r="X799" s="2" t="s">
        <v>98</v>
      </c>
      <c r="Y799" s="2" t="s">
        <v>2660</v>
      </c>
      <c r="Z799" s="4">
        <v>2</v>
      </c>
      <c r="AA799" s="4">
        <f>=ROUNDDOWN(0.333333333333333,0)</f>
      </c>
      <c r="AB799" s="5">
        <v>6</v>
      </c>
      <c r="AC799" s="2" t="s">
        <v>98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7</v>
      </c>
      <c r="AQ799" s="8">
        <v>112.7</v>
      </c>
      <c r="AR799" s="4">
        <v>10</v>
      </c>
      <c r="AS799" s="8">
        <v>128.6</v>
      </c>
      <c r="AT799" s="7">
        <v>-0.3</v>
      </c>
      <c r="AU799" s="7">
        <v>-0.1236</v>
      </c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>
        <v>1</v>
      </c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 t="s">
        <v>98</v>
      </c>
      <c r="BJ799" s="4">
        <v>139</v>
      </c>
      <c r="BK799" s="8">
        <v>1990.91</v>
      </c>
      <c r="BL799" s="2" t="s">
        <v>2662</v>
      </c>
      <c r="BM799" s="7">
        <v>0.0504</v>
      </c>
      <c r="BN799" s="7">
        <v>0.0566</v>
      </c>
      <c r="BO799" s="4">
        <v>7</v>
      </c>
      <c r="BP799" s="8">
        <v>112.7</v>
      </c>
      <c r="BQ799" s="4">
        <v>10</v>
      </c>
      <c r="BR799" s="8">
        <v>128.6</v>
      </c>
      <c r="BS799" s="7">
        <v>-0.3</v>
      </c>
      <c r="BT799" s="7">
        <v>-0.1236</v>
      </c>
      <c r="BU799" s="2" t="s">
        <v>211</v>
      </c>
      <c r="BV799" s="2" t="s">
        <v>352</v>
      </c>
      <c r="BW799" s="2" t="s">
        <v>570</v>
      </c>
      <c r="BX799" s="2" t="s">
        <v>586</v>
      </c>
      <c r="BY799" s="2" t="s">
        <v>354</v>
      </c>
    </row>
    <row r="800">
      <c r="A800" s="2" t="s">
        <v>2663</v>
      </c>
      <c r="B800" s="2" t="s">
        <v>86</v>
      </c>
      <c r="C800" s="2" t="s">
        <v>2604</v>
      </c>
      <c r="D800" s="2" t="s">
        <v>88</v>
      </c>
      <c r="E800" s="2" t="s">
        <v>88</v>
      </c>
      <c r="F800" s="2" t="s">
        <v>2647</v>
      </c>
      <c r="G800" s="2" t="s">
        <v>2648</v>
      </c>
      <c r="H800" s="2" t="s">
        <v>2649</v>
      </c>
      <c r="I800" s="2" t="s">
        <v>2658</v>
      </c>
      <c r="J800" s="2" t="s">
        <v>331</v>
      </c>
      <c r="K800" s="2" t="s">
        <v>2664</v>
      </c>
      <c r="L800" s="3">
        <v>12.3</v>
      </c>
      <c r="M800" s="3">
        <v>12.92</v>
      </c>
      <c r="N800" s="3">
        <v>29.99</v>
      </c>
      <c r="O800" s="2" t="s">
        <v>368</v>
      </c>
      <c r="P800" s="2" t="s">
        <v>215</v>
      </c>
      <c r="Q800" s="2" t="s">
        <v>97</v>
      </c>
      <c r="R800" s="2" t="s">
        <v>98</v>
      </c>
      <c r="S800" s="2" t="s">
        <v>2659</v>
      </c>
      <c r="T800" s="2" t="s">
        <v>98</v>
      </c>
      <c r="U800" s="2" t="s">
        <v>100</v>
      </c>
      <c r="V800" s="2" t="s">
        <v>2652</v>
      </c>
      <c r="W800" s="2" t="s">
        <v>567</v>
      </c>
      <c r="X800" s="2" t="s">
        <v>98</v>
      </c>
      <c r="Y800" s="2" t="s">
        <v>2660</v>
      </c>
      <c r="Z800" s="4"/>
      <c r="AA800" s="4">
        <f>=ROUNDDOWN({0},0)</f>
      </c>
      <c r="AB800" s="5">
        <v>6</v>
      </c>
      <c r="AC800" s="2" t="s">
        <v>98</v>
      </c>
      <c r="AD800" s="4"/>
      <c r="AE800" s="4"/>
      <c r="AF800" s="6">
        <v>65</v>
      </c>
      <c r="AG800" s="6"/>
      <c r="AH800" s="7">
        <v>0.9222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2</v>
      </c>
      <c r="AQ800" s="8">
        <v>18.34</v>
      </c>
      <c r="AR800" s="4">
        <v>7</v>
      </c>
      <c r="AS800" s="8">
        <v>79.24</v>
      </c>
      <c r="AT800" s="7">
        <v>-0.7143</v>
      </c>
      <c r="AU800" s="7">
        <v>-0.7686</v>
      </c>
      <c r="AV800" s="4">
        <v>11</v>
      </c>
      <c r="AW800" s="8">
        <v>112.57</v>
      </c>
      <c r="AX800" s="4">
        <v>16</v>
      </c>
      <c r="AY800" s="8">
        <v>194.98</v>
      </c>
      <c r="AZ800" s="7">
        <v>-0.3125</v>
      </c>
      <c r="BA800" s="7">
        <v>-0.4227</v>
      </c>
      <c r="BB800" s="7">
        <v>0.1629</v>
      </c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>
        <v>0.1412</v>
      </c>
      <c r="BJ800" s="4">
        <v>35</v>
      </c>
      <c r="BK800" s="8">
        <v>398.01</v>
      </c>
      <c r="BL800" s="2" t="s">
        <v>727</v>
      </c>
      <c r="BM800" s="7">
        <v>0.0571</v>
      </c>
      <c r="BN800" s="7">
        <v>0.0461</v>
      </c>
      <c r="BO800" s="4">
        <v>2</v>
      </c>
      <c r="BP800" s="8">
        <v>18.34</v>
      </c>
      <c r="BQ800" s="4">
        <v>7</v>
      </c>
      <c r="BR800" s="8">
        <v>79.24</v>
      </c>
      <c r="BS800" s="7">
        <v>-0.7143</v>
      </c>
      <c r="BT800" s="7">
        <v>-0.7686</v>
      </c>
      <c r="BU800" s="2" t="s">
        <v>211</v>
      </c>
      <c r="BV800" s="2" t="s">
        <v>352</v>
      </c>
      <c r="BW800" s="2" t="s">
        <v>570</v>
      </c>
      <c r="BX800" s="2" t="s">
        <v>2665</v>
      </c>
      <c r="BY800" s="2" t="s">
        <v>354</v>
      </c>
    </row>
    <row r="801">
      <c r="A801" s="2" t="s">
        <v>2666</v>
      </c>
      <c r="B801" s="2" t="s">
        <v>86</v>
      </c>
      <c r="C801" s="2" t="s">
        <v>2604</v>
      </c>
      <c r="D801" s="2" t="s">
        <v>88</v>
      </c>
      <c r="E801" s="2" t="s">
        <v>88</v>
      </c>
      <c r="F801" s="2" t="s">
        <v>2647</v>
      </c>
      <c r="G801" s="2" t="s">
        <v>2648</v>
      </c>
      <c r="H801" s="2" t="s">
        <v>2649</v>
      </c>
      <c r="I801" s="2" t="s">
        <v>2650</v>
      </c>
      <c r="J801" s="2" t="s">
        <v>93</v>
      </c>
      <c r="K801" s="2" t="s">
        <v>2664</v>
      </c>
      <c r="L801" s="3">
        <v>14</v>
      </c>
      <c r="M801" s="3">
        <v>14.7</v>
      </c>
      <c r="N801" s="3">
        <v>34.99</v>
      </c>
      <c r="O801" s="2" t="s">
        <v>368</v>
      </c>
      <c r="P801" s="2" t="s">
        <v>215</v>
      </c>
      <c r="Q801" s="2" t="s">
        <v>97</v>
      </c>
      <c r="R801" s="2" t="s">
        <v>98</v>
      </c>
      <c r="S801" s="2" t="s">
        <v>2659</v>
      </c>
      <c r="T801" s="2" t="s">
        <v>98</v>
      </c>
      <c r="U801" s="2" t="s">
        <v>100</v>
      </c>
      <c r="V801" s="2" t="s">
        <v>2652</v>
      </c>
      <c r="W801" s="2" t="s">
        <v>567</v>
      </c>
      <c r="X801" s="2" t="s">
        <v>98</v>
      </c>
      <c r="Y801" s="2" t="s">
        <v>2660</v>
      </c>
      <c r="Z801" s="4"/>
      <c r="AA801" s="4">
        <f>=ROUNDDOWN({0},0)</f>
      </c>
      <c r="AB801" s="5">
        <v>0.5</v>
      </c>
      <c r="AC801" s="2" t="s">
        <v>98</v>
      </c>
      <c r="AD801" s="4"/>
      <c r="AE801" s="4"/>
      <c r="AF801" s="6">
        <v>65</v>
      </c>
      <c r="AG801" s="6"/>
      <c r="AH801" s="7">
        <v>0.9667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9</v>
      </c>
      <c r="AQ801" s="8">
        <v>94.23</v>
      </c>
      <c r="AR801" s="4">
        <v>9</v>
      </c>
      <c r="AS801" s="8">
        <v>115.74</v>
      </c>
      <c r="AT801" s="7"/>
      <c r="AU801" s="7">
        <v>-0.1858</v>
      </c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>
        <v>0.8371</v>
      </c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 t="s">
        <v>98</v>
      </c>
      <c r="BJ801" s="4">
        <v>153</v>
      </c>
      <c r="BK801" s="8">
        <v>2008.12</v>
      </c>
      <c r="BL801" s="2" t="s">
        <v>2667</v>
      </c>
      <c r="BM801" s="7">
        <v>0.0588</v>
      </c>
      <c r="BN801" s="7">
        <v>0.0469</v>
      </c>
      <c r="BO801" s="4">
        <v>9</v>
      </c>
      <c r="BP801" s="8">
        <v>94.23</v>
      </c>
      <c r="BQ801" s="4">
        <v>9</v>
      </c>
      <c r="BR801" s="8">
        <v>115.74</v>
      </c>
      <c r="BS801" s="7"/>
      <c r="BT801" s="7">
        <v>-0.1858</v>
      </c>
      <c r="BU801" s="2" t="s">
        <v>211</v>
      </c>
      <c r="BV801" s="2" t="s">
        <v>352</v>
      </c>
      <c r="BW801" s="2" t="s">
        <v>570</v>
      </c>
      <c r="BX801" s="2" t="s">
        <v>1387</v>
      </c>
      <c r="BY801" s="2" t="s">
        <v>354</v>
      </c>
    </row>
    <row r="802">
      <c r="A802" s="2" t="s">
        <v>2668</v>
      </c>
      <c r="B802" s="2" t="s">
        <v>86</v>
      </c>
      <c r="C802" s="2" t="s">
        <v>2604</v>
      </c>
      <c r="D802" s="2" t="s">
        <v>88</v>
      </c>
      <c r="E802" s="2" t="s">
        <v>88</v>
      </c>
      <c r="F802" s="2" t="s">
        <v>2647</v>
      </c>
      <c r="G802" s="2" t="s">
        <v>2648</v>
      </c>
      <c r="H802" s="2" t="s">
        <v>2649</v>
      </c>
      <c r="I802" s="2" t="s">
        <v>2650</v>
      </c>
      <c r="J802" s="2" t="s">
        <v>331</v>
      </c>
      <c r="K802" s="2" t="s">
        <v>312</v>
      </c>
      <c r="L802" s="3">
        <v>12.3</v>
      </c>
      <c r="M802" s="3">
        <v>12.92</v>
      </c>
      <c r="N802" s="3">
        <v>29.99</v>
      </c>
      <c r="O802" s="2" t="s">
        <v>95</v>
      </c>
      <c r="P802" s="2" t="s">
        <v>150</v>
      </c>
      <c r="Q802" s="2" t="s">
        <v>97</v>
      </c>
      <c r="R802" s="2" t="s">
        <v>98</v>
      </c>
      <c r="S802" s="2" t="s">
        <v>2659</v>
      </c>
      <c r="T802" s="2" t="s">
        <v>98</v>
      </c>
      <c r="U802" s="2" t="s">
        <v>100</v>
      </c>
      <c r="V802" s="2" t="s">
        <v>2652</v>
      </c>
      <c r="W802" s="2" t="s">
        <v>567</v>
      </c>
      <c r="X802" s="2" t="s">
        <v>372</v>
      </c>
      <c r="Y802" s="2" t="s">
        <v>2660</v>
      </c>
      <c r="Z802" s="4">
        <v>102</v>
      </c>
      <c r="AA802" s="4">
        <f>=ROUNDDOWN(20.8163265306122,0)</f>
      </c>
      <c r="AB802" s="5">
        <v>4.9</v>
      </c>
      <c r="AC802" s="2" t="s">
        <v>98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6</v>
      </c>
      <c r="AQ802" s="8">
        <v>84.6</v>
      </c>
      <c r="AR802" s="4">
        <v>10</v>
      </c>
      <c r="AS802" s="8">
        <v>113.2</v>
      </c>
      <c r="AT802" s="7">
        <v>-0.4</v>
      </c>
      <c r="AU802" s="7">
        <v>-0.2527</v>
      </c>
      <c r="AV802" s="4">
        <v>7</v>
      </c>
      <c r="AW802" s="8">
        <v>100.7</v>
      </c>
      <c r="AX802" s="4">
        <v>35</v>
      </c>
      <c r="AY802" s="8">
        <v>434.7</v>
      </c>
      <c r="AZ802" s="7">
        <v>-0.8</v>
      </c>
      <c r="BA802" s="7">
        <v>-0.7683</v>
      </c>
      <c r="BB802" s="7">
        <v>0.8401</v>
      </c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>
        <v>0.1263</v>
      </c>
      <c r="BJ802" s="4">
        <v>76</v>
      </c>
      <c r="BK802" s="8">
        <v>994.58</v>
      </c>
      <c r="BL802" s="2" t="s">
        <v>2017</v>
      </c>
      <c r="BM802" s="7">
        <v>0.0789</v>
      </c>
      <c r="BN802" s="7">
        <v>0.0851</v>
      </c>
      <c r="BO802" s="4">
        <v>6</v>
      </c>
      <c r="BP802" s="8">
        <v>84.6</v>
      </c>
      <c r="BQ802" s="4">
        <v>10</v>
      </c>
      <c r="BR802" s="8">
        <v>113.2</v>
      </c>
      <c r="BS802" s="7">
        <v>-0.4</v>
      </c>
      <c r="BT802" s="7">
        <v>-0.2527</v>
      </c>
      <c r="BU802" s="2" t="s">
        <v>211</v>
      </c>
      <c r="BV802" s="2" t="s">
        <v>95</v>
      </c>
      <c r="BW802" s="2" t="s">
        <v>570</v>
      </c>
      <c r="BX802" s="2" t="s">
        <v>2533</v>
      </c>
      <c r="BY802" s="2" t="s">
        <v>111</v>
      </c>
    </row>
    <row r="803">
      <c r="A803" s="2" t="s">
        <v>2669</v>
      </c>
      <c r="B803" s="2" t="s">
        <v>86</v>
      </c>
      <c r="C803" s="2" t="s">
        <v>2604</v>
      </c>
      <c r="D803" s="2" t="s">
        <v>88</v>
      </c>
      <c r="E803" s="2" t="s">
        <v>88</v>
      </c>
      <c r="F803" s="2" t="s">
        <v>2647</v>
      </c>
      <c r="G803" s="2" t="s">
        <v>2648</v>
      </c>
      <c r="H803" s="2" t="s">
        <v>2649</v>
      </c>
      <c r="I803" s="2" t="s">
        <v>2650</v>
      </c>
      <c r="J803" s="2" t="s">
        <v>93</v>
      </c>
      <c r="K803" s="2" t="s">
        <v>312</v>
      </c>
      <c r="L803" s="3">
        <v>14</v>
      </c>
      <c r="M803" s="3">
        <v>14.7</v>
      </c>
      <c r="N803" s="3">
        <v>34.99</v>
      </c>
      <c r="O803" s="2" t="s">
        <v>95</v>
      </c>
      <c r="P803" s="2" t="s">
        <v>150</v>
      </c>
      <c r="Q803" s="2" t="s">
        <v>97</v>
      </c>
      <c r="R803" s="2" t="s">
        <v>98</v>
      </c>
      <c r="S803" s="2" t="s">
        <v>2659</v>
      </c>
      <c r="T803" s="2" t="s">
        <v>98</v>
      </c>
      <c r="U803" s="2" t="s">
        <v>100</v>
      </c>
      <c r="V803" s="2" t="s">
        <v>2652</v>
      </c>
      <c r="W803" s="2" t="s">
        <v>567</v>
      </c>
      <c r="X803" s="2" t="s">
        <v>372</v>
      </c>
      <c r="Y803" s="2" t="s">
        <v>2660</v>
      </c>
      <c r="Z803" s="4">
        <v>671</v>
      </c>
      <c r="AA803" s="4">
        <f>=ROUNDDOWN(44.7333333333333,0)</f>
      </c>
      <c r="AB803" s="5">
        <v>15</v>
      </c>
      <c r="AC803" s="2" t="s">
        <v>98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1</v>
      </c>
      <c r="AQ803" s="8">
        <v>16.1</v>
      </c>
      <c r="AR803" s="4">
        <v>25</v>
      </c>
      <c r="AS803" s="8">
        <v>321.5</v>
      </c>
      <c r="AT803" s="7">
        <v>-0.96</v>
      </c>
      <c r="AU803" s="7">
        <v>-0.9499</v>
      </c>
      <c r="AV803" s="4" t="s">
        <v>98</v>
      </c>
      <c r="AW803" s="8" t="s">
        <v>98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>
        <v>0.1599</v>
      </c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 t="s">
        <v>98</v>
      </c>
      <c r="BJ803" s="4">
        <v>249</v>
      </c>
      <c r="BK803" s="8">
        <v>3670.16</v>
      </c>
      <c r="BL803" s="2" t="s">
        <v>930</v>
      </c>
      <c r="BM803" s="7">
        <v>0.004</v>
      </c>
      <c r="BN803" s="7">
        <v>0.0044</v>
      </c>
      <c r="BO803" s="4">
        <v>1</v>
      </c>
      <c r="BP803" s="8">
        <v>16.1</v>
      </c>
      <c r="BQ803" s="4">
        <v>25</v>
      </c>
      <c r="BR803" s="8">
        <v>321.5</v>
      </c>
      <c r="BS803" s="7">
        <v>-0.96</v>
      </c>
      <c r="BT803" s="7">
        <v>-0.9499</v>
      </c>
      <c r="BU803" s="2" t="s">
        <v>211</v>
      </c>
      <c r="BV803" s="2" t="s">
        <v>95</v>
      </c>
      <c r="BW803" s="2" t="s">
        <v>570</v>
      </c>
      <c r="BX803" s="2" t="s">
        <v>786</v>
      </c>
      <c r="BY803" s="2" t="s">
        <v>111</v>
      </c>
    </row>
    <row r="804">
      <c r="A804" s="2" t="s">
        <v>2670</v>
      </c>
      <c r="B804" s="2" t="s">
        <v>86</v>
      </c>
      <c r="C804" s="2" t="s">
        <v>2604</v>
      </c>
      <c r="D804" s="2" t="s">
        <v>88</v>
      </c>
      <c r="E804" s="2" t="s">
        <v>88</v>
      </c>
      <c r="F804" s="2" t="s">
        <v>2671</v>
      </c>
      <c r="G804" s="2" t="s">
        <v>2672</v>
      </c>
      <c r="H804" s="2" t="s">
        <v>2673</v>
      </c>
      <c r="I804" s="2" t="s">
        <v>2674</v>
      </c>
      <c r="J804" s="2" t="s">
        <v>93</v>
      </c>
      <c r="K804" s="2" t="s">
        <v>2341</v>
      </c>
      <c r="L804" s="3">
        <v>19.2</v>
      </c>
      <c r="M804" s="3">
        <v>20.16</v>
      </c>
      <c r="N804" s="3">
        <v>39.99</v>
      </c>
      <c r="O804" s="2" t="s">
        <v>241</v>
      </c>
      <c r="P804" s="2" t="s">
        <v>215</v>
      </c>
      <c r="Q804" s="2" t="s">
        <v>97</v>
      </c>
      <c r="R804" s="2" t="s">
        <v>98</v>
      </c>
      <c r="S804" s="2" t="s">
        <v>2675</v>
      </c>
      <c r="T804" s="2" t="s">
        <v>98</v>
      </c>
      <c r="U804" s="2" t="s">
        <v>100</v>
      </c>
      <c r="V804" s="2" t="s">
        <v>334</v>
      </c>
      <c r="W804" s="2" t="s">
        <v>2111</v>
      </c>
      <c r="X804" s="2" t="s">
        <v>2024</v>
      </c>
      <c r="Y804" s="2" t="s">
        <v>2676</v>
      </c>
      <c r="Z804" s="4"/>
      <c r="AA804" s="4">
        <f>=ROUNDDOWN({0},0)</f>
      </c>
      <c r="AB804" s="5">
        <v>0.2</v>
      </c>
      <c r="AC804" s="2" t="s">
        <v>98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33</v>
      </c>
      <c r="AQ804" s="8">
        <v>551</v>
      </c>
      <c r="AR804" s="4">
        <v>192</v>
      </c>
      <c r="AS804" s="8">
        <v>3601.92</v>
      </c>
      <c r="AT804" s="7">
        <v>-0.8281</v>
      </c>
      <c r="AU804" s="7">
        <v>-0.847</v>
      </c>
      <c r="AV804" s="4">
        <v>33</v>
      </c>
      <c r="AW804" s="8">
        <v>551</v>
      </c>
      <c r="AX804" s="4">
        <v>192</v>
      </c>
      <c r="AY804" s="8">
        <v>3601.92</v>
      </c>
      <c r="AZ804" s="7">
        <v>-0.8281</v>
      </c>
      <c r="BA804" s="7">
        <v>-0.847</v>
      </c>
      <c r="BB804" s="7">
        <v>1</v>
      </c>
      <c r="BC804" s="4">
        <v>33</v>
      </c>
      <c r="BD804" s="8">
        <v>551</v>
      </c>
      <c r="BE804" s="4">
        <v>192</v>
      </c>
      <c r="BF804" s="8">
        <v>3601.92</v>
      </c>
      <c r="BG804" s="7">
        <v>-0.8281</v>
      </c>
      <c r="BH804" s="7">
        <v>-0.847</v>
      </c>
      <c r="BI804" s="7">
        <v>1</v>
      </c>
      <c r="BJ804" s="4">
        <v>114</v>
      </c>
      <c r="BK804" s="8">
        <v>2194.2</v>
      </c>
      <c r="BL804" s="2" t="s">
        <v>2677</v>
      </c>
      <c r="BM804" s="7">
        <v>0.2895</v>
      </c>
      <c r="BN804" s="7">
        <v>0.2511</v>
      </c>
      <c r="BO804" s="4">
        <v>33</v>
      </c>
      <c r="BP804" s="8">
        <v>551</v>
      </c>
      <c r="BQ804" s="4">
        <v>192</v>
      </c>
      <c r="BR804" s="8">
        <v>3601.92</v>
      </c>
      <c r="BS804" s="7">
        <v>-0.8281</v>
      </c>
      <c r="BT804" s="7">
        <v>-0.847</v>
      </c>
      <c r="BU804" s="2" t="s">
        <v>211</v>
      </c>
      <c r="BV804" s="2" t="s">
        <v>352</v>
      </c>
      <c r="BW804" s="2" t="s">
        <v>570</v>
      </c>
      <c r="BX804" s="2" t="s">
        <v>1387</v>
      </c>
      <c r="BY804" s="2" t="s">
        <v>354</v>
      </c>
    </row>
    <row r="805">
      <c r="A805" s="2" t="s">
        <v>2678</v>
      </c>
      <c r="B805" s="2" t="s">
        <v>86</v>
      </c>
      <c r="C805" s="2" t="s">
        <v>2604</v>
      </c>
      <c r="D805" s="2" t="s">
        <v>88</v>
      </c>
      <c r="E805" s="2" t="s">
        <v>88</v>
      </c>
      <c r="F805" s="2" t="s">
        <v>2679</v>
      </c>
      <c r="G805" s="2" t="s">
        <v>2649</v>
      </c>
      <c r="H805" s="2" t="s">
        <v>2680</v>
      </c>
      <c r="I805" s="2" t="s">
        <v>2681</v>
      </c>
      <c r="J805" s="2" t="s">
        <v>93</v>
      </c>
      <c r="K805" s="2" t="s">
        <v>464</v>
      </c>
      <c r="L805" s="3">
        <v>15.4</v>
      </c>
      <c r="M805" s="3">
        <v>16.17</v>
      </c>
      <c r="N805" s="3">
        <v>34.99</v>
      </c>
      <c r="O805" s="2" t="s">
        <v>95</v>
      </c>
      <c r="P805" s="2" t="s">
        <v>150</v>
      </c>
      <c r="Q805" s="2" t="s">
        <v>97</v>
      </c>
      <c r="R805" s="2" t="s">
        <v>98</v>
      </c>
      <c r="S805" s="2" t="s">
        <v>2682</v>
      </c>
      <c r="T805" s="2" t="s">
        <v>98</v>
      </c>
      <c r="U805" s="2" t="s">
        <v>98</v>
      </c>
      <c r="V805" s="2" t="s">
        <v>762</v>
      </c>
      <c r="W805" s="2" t="s">
        <v>567</v>
      </c>
      <c r="X805" s="2" t="s">
        <v>130</v>
      </c>
      <c r="Y805" s="2" t="s">
        <v>2683</v>
      </c>
      <c r="Z805" s="4">
        <v>588</v>
      </c>
      <c r="AA805" s="4">
        <f>=ROUNDDOWN(20.2758620689655,0)</f>
      </c>
      <c r="AB805" s="5">
        <v>29</v>
      </c>
      <c r="AC805" s="2" t="s">
        <v>158</v>
      </c>
      <c r="AD805" s="4">
        <v>340</v>
      </c>
      <c r="AE805" s="4">
        <v>340</v>
      </c>
      <c r="AF805" s="6">
        <v>65</v>
      </c>
      <c r="AG805" s="6"/>
      <c r="AH805" s="7">
        <v>1</v>
      </c>
      <c r="AI805" s="4">
        <v>1</v>
      </c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21</v>
      </c>
      <c r="AQ805" s="8">
        <v>367.5</v>
      </c>
      <c r="AR805" s="4">
        <v>438</v>
      </c>
      <c r="AS805" s="8">
        <v>6132</v>
      </c>
      <c r="AT805" s="7">
        <v>-0.9521</v>
      </c>
      <c r="AU805" s="7">
        <v>-0.9401</v>
      </c>
      <c r="AV805" s="4">
        <v>21</v>
      </c>
      <c r="AW805" s="8">
        <v>367.5</v>
      </c>
      <c r="AX805" s="4">
        <v>438</v>
      </c>
      <c r="AY805" s="8">
        <v>6132</v>
      </c>
      <c r="AZ805" s="7">
        <v>-0.9521</v>
      </c>
      <c r="BA805" s="7">
        <v>-0.9401</v>
      </c>
      <c r="BB805" s="7">
        <v>1</v>
      </c>
      <c r="BC805" s="4">
        <v>27</v>
      </c>
      <c r="BD805" s="8">
        <v>472.5</v>
      </c>
      <c r="BE805" s="4">
        <v>689</v>
      </c>
      <c r="BF805" s="8">
        <v>9646</v>
      </c>
      <c r="BG805" s="7">
        <v>-0.9608</v>
      </c>
      <c r="BH805" s="7">
        <v>-0.951</v>
      </c>
      <c r="BI805" s="7">
        <v>0.7778</v>
      </c>
      <c r="BJ805" s="4">
        <v>410</v>
      </c>
      <c r="BK805" s="8">
        <v>6712.69</v>
      </c>
      <c r="BL805" s="2" t="s">
        <v>2684</v>
      </c>
      <c r="BM805" s="7">
        <v>0.0512</v>
      </c>
      <c r="BN805" s="7">
        <v>0.0547</v>
      </c>
      <c r="BO805" s="4">
        <v>21</v>
      </c>
      <c r="BP805" s="8">
        <v>367.5</v>
      </c>
      <c r="BQ805" s="4">
        <v>438</v>
      </c>
      <c r="BR805" s="8">
        <v>6132</v>
      </c>
      <c r="BS805" s="7">
        <v>-0.9521</v>
      </c>
      <c r="BT805" s="7">
        <v>-0.9401</v>
      </c>
      <c r="BU805" s="2" t="s">
        <v>107</v>
      </c>
      <c r="BV805" s="2" t="s">
        <v>108</v>
      </c>
      <c r="BW805" s="2" t="s">
        <v>524</v>
      </c>
      <c r="BX805" s="2" t="s">
        <v>693</v>
      </c>
      <c r="BY805" s="2" t="s">
        <v>111</v>
      </c>
    </row>
    <row r="806">
      <c r="A806" s="2" t="s">
        <v>2685</v>
      </c>
      <c r="B806" s="2" t="s">
        <v>86</v>
      </c>
      <c r="C806" s="2" t="s">
        <v>2604</v>
      </c>
      <c r="D806" s="2" t="s">
        <v>88</v>
      </c>
      <c r="E806" s="2" t="s">
        <v>88</v>
      </c>
      <c r="F806" s="2" t="s">
        <v>2679</v>
      </c>
      <c r="G806" s="2" t="s">
        <v>2649</v>
      </c>
      <c r="H806" s="2" t="s">
        <v>2680</v>
      </c>
      <c r="I806" s="2" t="s">
        <v>2681</v>
      </c>
      <c r="J806" s="2" t="s">
        <v>93</v>
      </c>
      <c r="K806" s="2" t="s">
        <v>748</v>
      </c>
      <c r="L806" s="3">
        <v>15.4</v>
      </c>
      <c r="M806" s="3">
        <v>16.17</v>
      </c>
      <c r="N806" s="3">
        <v>34.99</v>
      </c>
      <c r="O806" s="2" t="s">
        <v>95</v>
      </c>
      <c r="P806" s="2" t="s">
        <v>215</v>
      </c>
      <c r="Q806" s="2" t="s">
        <v>97</v>
      </c>
      <c r="R806" s="2" t="s">
        <v>98</v>
      </c>
      <c r="S806" s="2" t="s">
        <v>2686</v>
      </c>
      <c r="T806" s="2" t="s">
        <v>98</v>
      </c>
      <c r="U806" s="2" t="s">
        <v>98</v>
      </c>
      <c r="V806" s="2" t="s">
        <v>762</v>
      </c>
      <c r="W806" s="2" t="s">
        <v>567</v>
      </c>
      <c r="X806" s="2" t="s">
        <v>98</v>
      </c>
      <c r="Y806" s="2" t="s">
        <v>2683</v>
      </c>
      <c r="Z806" s="4"/>
      <c r="AA806" s="4">
        <f>=ROUNDDOWN({0},0)</f>
      </c>
      <c r="AB806" s="5">
        <v>21.6</v>
      </c>
      <c r="AC806" s="2" t="s">
        <v>98</v>
      </c>
      <c r="AD806" s="4"/>
      <c r="AE806" s="4"/>
      <c r="AF806" s="6">
        <v>64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6</v>
      </c>
      <c r="AQ806" s="8">
        <v>105</v>
      </c>
      <c r="AR806" s="4">
        <v>251</v>
      </c>
      <c r="AS806" s="8">
        <v>3514</v>
      </c>
      <c r="AT806" s="7">
        <v>-0.9761</v>
      </c>
      <c r="AU806" s="7">
        <v>-0.9701</v>
      </c>
      <c r="AV806" s="4">
        <v>6</v>
      </c>
      <c r="AW806" s="8">
        <v>105</v>
      </c>
      <c r="AX806" s="4">
        <v>251</v>
      </c>
      <c r="AY806" s="8">
        <v>3514</v>
      </c>
      <c r="AZ806" s="7">
        <v>-0.9761</v>
      </c>
      <c r="BA806" s="7">
        <v>-0.9701</v>
      </c>
      <c r="BB806" s="7">
        <v>1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>
        <v>0.2222</v>
      </c>
      <c r="BJ806" s="4">
        <v>135</v>
      </c>
      <c r="BK806" s="8">
        <v>2169.1</v>
      </c>
      <c r="BL806" s="2" t="s">
        <v>2177</v>
      </c>
      <c r="BM806" s="7">
        <v>0.0444</v>
      </c>
      <c r="BN806" s="7">
        <v>0.0484</v>
      </c>
      <c r="BO806" s="4">
        <v>6</v>
      </c>
      <c r="BP806" s="8">
        <v>105</v>
      </c>
      <c r="BQ806" s="4">
        <v>251</v>
      </c>
      <c r="BR806" s="8">
        <v>3514</v>
      </c>
      <c r="BS806" s="7">
        <v>-0.9761</v>
      </c>
      <c r="BT806" s="7">
        <v>-0.9701</v>
      </c>
      <c r="BU806" s="2" t="s">
        <v>107</v>
      </c>
      <c r="BV806" s="2" t="s">
        <v>108</v>
      </c>
      <c r="BW806" s="2" t="s">
        <v>524</v>
      </c>
      <c r="BX806" s="2" t="s">
        <v>2687</v>
      </c>
      <c r="BY806" s="2" t="s">
        <v>111</v>
      </c>
    </row>
    <row r="807">
      <c r="A807" s="2" t="s">
        <v>2688</v>
      </c>
      <c r="B807" s="2" t="s">
        <v>86</v>
      </c>
      <c r="C807" s="2" t="s">
        <v>2604</v>
      </c>
      <c r="D807" s="2" t="s">
        <v>88</v>
      </c>
      <c r="E807" s="2" t="s">
        <v>88</v>
      </c>
      <c r="F807" s="2" t="s">
        <v>2689</v>
      </c>
      <c r="G807" s="2" t="s">
        <v>2690</v>
      </c>
      <c r="H807" s="2" t="s">
        <v>2691</v>
      </c>
      <c r="I807" s="2" t="s">
        <v>2692</v>
      </c>
      <c r="J807" s="2" t="s">
        <v>93</v>
      </c>
      <c r="K807" s="2" t="s">
        <v>2693</v>
      </c>
      <c r="L807" s="3">
        <v>18</v>
      </c>
      <c r="M807" s="3">
        <v>18.9</v>
      </c>
      <c r="N807" s="3">
        <v>39.99</v>
      </c>
      <c r="O807" s="2" t="s">
        <v>95</v>
      </c>
      <c r="P807" s="2" t="s">
        <v>150</v>
      </c>
      <c r="Q807" s="2" t="s">
        <v>97</v>
      </c>
      <c r="R807" s="2" t="s">
        <v>98</v>
      </c>
      <c r="S807" s="2" t="s">
        <v>2694</v>
      </c>
      <c r="T807" s="2" t="s">
        <v>1672</v>
      </c>
      <c r="U807" s="2" t="s">
        <v>100</v>
      </c>
      <c r="V807" s="2" t="s">
        <v>2652</v>
      </c>
      <c r="W807" s="2" t="s">
        <v>567</v>
      </c>
      <c r="X807" s="2" t="s">
        <v>372</v>
      </c>
      <c r="Y807" s="2" t="s">
        <v>2025</v>
      </c>
      <c r="Z807" s="4">
        <v>152</v>
      </c>
      <c r="AA807" s="4">
        <f>=ROUNDDOWN(7.23809523809524,0)</f>
      </c>
      <c r="AB807" s="5">
        <v>21</v>
      </c>
      <c r="AC807" s="2" t="s">
        <v>489</v>
      </c>
      <c r="AD807" s="4">
        <v>80</v>
      </c>
      <c r="AE807" s="4">
        <v>360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11</v>
      </c>
      <c r="AQ807" s="8">
        <v>220</v>
      </c>
      <c r="AR807" s="4"/>
      <c r="AS807" s="8"/>
      <c r="AT807" s="7"/>
      <c r="AU807" s="7"/>
      <c r="AV807" s="4">
        <v>11</v>
      </c>
      <c r="AW807" s="8">
        <v>220</v>
      </c>
      <c r="AX807" s="4"/>
      <c r="AY807" s="8"/>
      <c r="AZ807" s="7"/>
      <c r="BA807" s="7"/>
      <c r="BB807" s="7">
        <v>1</v>
      </c>
      <c r="BC807" s="4">
        <v>11</v>
      </c>
      <c r="BD807" s="8">
        <v>220</v>
      </c>
      <c r="BE807" s="4">
        <v>9</v>
      </c>
      <c r="BF807" s="8">
        <v>158.76</v>
      </c>
      <c r="BG807" s="7">
        <v>0.2222</v>
      </c>
      <c r="BH807" s="7">
        <v>0.3857</v>
      </c>
      <c r="BI807" s="7">
        <v>1</v>
      </c>
      <c r="BJ807" s="4">
        <v>137</v>
      </c>
      <c r="BK807" s="8">
        <v>2647.01</v>
      </c>
      <c r="BL807" s="2" t="s">
        <v>1287</v>
      </c>
      <c r="BM807" s="7">
        <v>0.0803</v>
      </c>
      <c r="BN807" s="7">
        <v>0.0831</v>
      </c>
      <c r="BO807" s="4">
        <v>11</v>
      </c>
      <c r="BP807" s="8">
        <v>220</v>
      </c>
      <c r="BQ807" s="4"/>
      <c r="BR807" s="8"/>
      <c r="BS807" s="7"/>
      <c r="BT807" s="7"/>
      <c r="BU807" s="2" t="s">
        <v>211</v>
      </c>
      <c r="BV807" s="2" t="s">
        <v>95</v>
      </c>
      <c r="BW807" s="2" t="s">
        <v>134</v>
      </c>
      <c r="BX807" s="2" t="s">
        <v>2695</v>
      </c>
      <c r="BY807" s="2" t="s">
        <v>111</v>
      </c>
    </row>
    <row r="808">
      <c r="A808" s="2" t="s">
        <v>2696</v>
      </c>
      <c r="B808" s="2" t="s">
        <v>86</v>
      </c>
      <c r="C808" s="2" t="s">
        <v>2604</v>
      </c>
      <c r="D808" s="2" t="s">
        <v>88</v>
      </c>
      <c r="E808" s="2" t="s">
        <v>88</v>
      </c>
      <c r="F808" s="2" t="s">
        <v>2689</v>
      </c>
      <c r="G808" s="2" t="s">
        <v>2690</v>
      </c>
      <c r="H808" s="2" t="s">
        <v>2691</v>
      </c>
      <c r="I808" s="2" t="s">
        <v>2697</v>
      </c>
      <c r="J808" s="2" t="s">
        <v>93</v>
      </c>
      <c r="K808" s="2" t="s">
        <v>2698</v>
      </c>
      <c r="L808" s="3">
        <v>18</v>
      </c>
      <c r="M808" s="3">
        <v>18.9</v>
      </c>
      <c r="N808" s="3">
        <v>39.99</v>
      </c>
      <c r="O808" s="2" t="s">
        <v>368</v>
      </c>
      <c r="P808" s="2" t="s">
        <v>215</v>
      </c>
      <c r="Q808" s="2" t="s">
        <v>97</v>
      </c>
      <c r="R808" s="2" t="s">
        <v>98</v>
      </c>
      <c r="S808" s="2" t="s">
        <v>2699</v>
      </c>
      <c r="T808" s="2" t="s">
        <v>1672</v>
      </c>
      <c r="U808" s="2" t="s">
        <v>100</v>
      </c>
      <c r="V808" s="2" t="s">
        <v>2652</v>
      </c>
      <c r="W808" s="2" t="s">
        <v>567</v>
      </c>
      <c r="X808" s="2" t="s">
        <v>98</v>
      </c>
      <c r="Y808" s="2" t="s">
        <v>2700</v>
      </c>
      <c r="Z808" s="4"/>
      <c r="AA808" s="4">
        <f>=ROUNDDOWN({0},0)</f>
      </c>
      <c r="AB808" s="5"/>
      <c r="AC808" s="2" t="s">
        <v>98</v>
      </c>
      <c r="AD808" s="4"/>
      <c r="AE808" s="4"/>
      <c r="AF808" s="6">
        <v>65</v>
      </c>
      <c r="AG808" s="6"/>
      <c r="AH808" s="7">
        <v>0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>
        <v>9</v>
      </c>
      <c r="AS808" s="8">
        <v>158.76</v>
      </c>
      <c r="AT808" s="7">
        <v>-1</v>
      </c>
      <c r="AU808" s="7">
        <v>-1</v>
      </c>
      <c r="AV808" s="4"/>
      <c r="AW808" s="8"/>
      <c r="AX808" s="4">
        <v>9</v>
      </c>
      <c r="AY808" s="8">
        <v>158.76</v>
      </c>
      <c r="AZ808" s="7">
        <v>-1</v>
      </c>
      <c r="BA808" s="7">
        <v>-1</v>
      </c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/>
      <c r="BK808" s="8"/>
      <c r="BL808" s="2" t="s">
        <v>2068</v>
      </c>
      <c r="BM808" s="7"/>
      <c r="BN808" s="7"/>
      <c r="BO808" s="4"/>
      <c r="BP808" s="8"/>
      <c r="BQ808" s="4">
        <v>9</v>
      </c>
      <c r="BR808" s="8">
        <v>158.76</v>
      </c>
      <c r="BS808" s="7">
        <v>-1</v>
      </c>
      <c r="BT808" s="7">
        <v>-1</v>
      </c>
      <c r="BU808" s="2" t="s">
        <v>211</v>
      </c>
      <c r="BV808" s="2" t="s">
        <v>352</v>
      </c>
      <c r="BW808" s="2" t="s">
        <v>801</v>
      </c>
      <c r="BX808" s="2" t="s">
        <v>967</v>
      </c>
      <c r="BY808" s="2" t="s">
        <v>111</v>
      </c>
    </row>
    <row r="809">
      <c r="A809" s="2" t="s">
        <v>2701</v>
      </c>
      <c r="B809" s="2" t="s">
        <v>86</v>
      </c>
      <c r="C809" s="2" t="s">
        <v>2604</v>
      </c>
      <c r="D809" s="2" t="s">
        <v>88</v>
      </c>
      <c r="E809" s="2" t="s">
        <v>88</v>
      </c>
      <c r="F809" s="2" t="s">
        <v>2702</v>
      </c>
      <c r="G809" s="2" t="s">
        <v>2703</v>
      </c>
      <c r="H809" s="2" t="s">
        <v>2704</v>
      </c>
      <c r="I809" s="2" t="s">
        <v>2705</v>
      </c>
      <c r="J809" s="2" t="s">
        <v>93</v>
      </c>
      <c r="K809" s="2" t="s">
        <v>458</v>
      </c>
      <c r="L809" s="3">
        <v>15.75</v>
      </c>
      <c r="M809" s="3">
        <v>16.54</v>
      </c>
      <c r="N809" s="3">
        <v>34.99</v>
      </c>
      <c r="O809" s="2" t="s">
        <v>241</v>
      </c>
      <c r="P809" s="2" t="s">
        <v>215</v>
      </c>
      <c r="Q809" s="2" t="s">
        <v>97</v>
      </c>
      <c r="R809" s="2" t="s">
        <v>98</v>
      </c>
      <c r="S809" s="2" t="s">
        <v>2706</v>
      </c>
      <c r="T809" s="2" t="s">
        <v>98</v>
      </c>
      <c r="U809" s="2" t="s">
        <v>100</v>
      </c>
      <c r="V809" s="2" t="s">
        <v>617</v>
      </c>
      <c r="W809" s="2" t="s">
        <v>567</v>
      </c>
      <c r="X809" s="2" t="s">
        <v>1373</v>
      </c>
      <c r="Y809" s="2" t="s">
        <v>2707</v>
      </c>
      <c r="Z809" s="4"/>
      <c r="AA809" s="4">
        <f>=ROUNDDOWN({0},0)</f>
      </c>
      <c r="AB809" s="5">
        <v>20</v>
      </c>
      <c r="AC809" s="2" t="s">
        <v>98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9</v>
      </c>
      <c r="AQ809" s="8">
        <v>69.12</v>
      </c>
      <c r="AR809" s="4">
        <v>15</v>
      </c>
      <c r="AS809" s="8">
        <v>220.5</v>
      </c>
      <c r="AT809" s="7">
        <v>-0.4</v>
      </c>
      <c r="AU809" s="7">
        <v>-0.6865</v>
      </c>
      <c r="AV809" s="4">
        <v>9</v>
      </c>
      <c r="AW809" s="8">
        <v>69.12</v>
      </c>
      <c r="AX809" s="4">
        <v>15</v>
      </c>
      <c r="AY809" s="8">
        <v>220.5</v>
      </c>
      <c r="AZ809" s="7">
        <v>-0.4</v>
      </c>
      <c r="BA809" s="7">
        <v>-0.6865</v>
      </c>
      <c r="BB809" s="7">
        <v>1</v>
      </c>
      <c r="BC809" s="4">
        <v>9</v>
      </c>
      <c r="BD809" s="8">
        <v>69.12</v>
      </c>
      <c r="BE809" s="4">
        <v>137</v>
      </c>
      <c r="BF809" s="8">
        <v>2013.9</v>
      </c>
      <c r="BG809" s="7">
        <v>-0.9343</v>
      </c>
      <c r="BH809" s="7">
        <v>-0.9657</v>
      </c>
      <c r="BI809" s="7">
        <v>1</v>
      </c>
      <c r="BJ809" s="4">
        <v>33</v>
      </c>
      <c r="BK809" s="8">
        <v>315.66</v>
      </c>
      <c r="BL809" s="2" t="s">
        <v>2708</v>
      </c>
      <c r="BM809" s="7">
        <v>0.2727</v>
      </c>
      <c r="BN809" s="7">
        <v>0.219</v>
      </c>
      <c r="BO809" s="4">
        <v>9</v>
      </c>
      <c r="BP809" s="8">
        <v>69.12</v>
      </c>
      <c r="BQ809" s="4">
        <v>15</v>
      </c>
      <c r="BR809" s="8">
        <v>220.5</v>
      </c>
      <c r="BS809" s="7">
        <v>-0.4</v>
      </c>
      <c r="BT809" s="7">
        <v>-0.6865</v>
      </c>
      <c r="BU809" s="2" t="s">
        <v>211</v>
      </c>
      <c r="BV809" s="2" t="s">
        <v>352</v>
      </c>
      <c r="BW809" s="2" t="s">
        <v>570</v>
      </c>
      <c r="BX809" s="2" t="s">
        <v>586</v>
      </c>
      <c r="BY809" s="2" t="s">
        <v>354</v>
      </c>
    </row>
    <row r="810">
      <c r="A810" s="2" t="s">
        <v>2709</v>
      </c>
      <c r="B810" s="2" t="s">
        <v>86</v>
      </c>
      <c r="C810" s="2" t="s">
        <v>2604</v>
      </c>
      <c r="D810" s="2" t="s">
        <v>88</v>
      </c>
      <c r="E810" s="2" t="s">
        <v>88</v>
      </c>
      <c r="F810" s="2" t="s">
        <v>2702</v>
      </c>
      <c r="G810" s="2" t="s">
        <v>2703</v>
      </c>
      <c r="H810" s="2" t="s">
        <v>2704</v>
      </c>
      <c r="I810" s="2" t="s">
        <v>2705</v>
      </c>
      <c r="J810" s="2" t="s">
        <v>93</v>
      </c>
      <c r="K810" s="2" t="s">
        <v>2710</v>
      </c>
      <c r="L810" s="3">
        <v>15.75</v>
      </c>
      <c r="M810" s="3">
        <v>16.54</v>
      </c>
      <c r="N810" s="3">
        <v>34.99</v>
      </c>
      <c r="O810" s="2" t="s">
        <v>368</v>
      </c>
      <c r="P810" s="2" t="s">
        <v>215</v>
      </c>
      <c r="Q810" s="2" t="s">
        <v>97</v>
      </c>
      <c r="R810" s="2" t="s">
        <v>98</v>
      </c>
      <c r="S810" s="2" t="s">
        <v>2711</v>
      </c>
      <c r="T810" s="2" t="s">
        <v>98</v>
      </c>
      <c r="U810" s="2" t="s">
        <v>100</v>
      </c>
      <c r="V810" s="2" t="s">
        <v>617</v>
      </c>
      <c r="W810" s="2" t="s">
        <v>567</v>
      </c>
      <c r="X810" s="2" t="s">
        <v>1373</v>
      </c>
      <c r="Y810" s="2" t="s">
        <v>2707</v>
      </c>
      <c r="Z810" s="4"/>
      <c r="AA810" s="4">
        <f>=ROUNDDOWN({0},0)</f>
      </c>
      <c r="AB810" s="5"/>
      <c r="AC810" s="2" t="s">
        <v>98</v>
      </c>
      <c r="AD810" s="4"/>
      <c r="AE810" s="4"/>
      <c r="AF810" s="6">
        <v>65</v>
      </c>
      <c r="AG810" s="6"/>
      <c r="AH810" s="7">
        <v>0.3667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>
        <v>122</v>
      </c>
      <c r="AS810" s="8">
        <v>1793.4</v>
      </c>
      <c r="AT810" s="7">
        <v>-1</v>
      </c>
      <c r="AU810" s="7">
        <v>-1</v>
      </c>
      <c r="AV810" s="4"/>
      <c r="AW810" s="8"/>
      <c r="AX810" s="4">
        <v>122</v>
      </c>
      <c r="AY810" s="8">
        <v>1793.4</v>
      </c>
      <c r="AZ810" s="7">
        <v>-1</v>
      </c>
      <c r="BA810" s="7">
        <v>-1</v>
      </c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/>
      <c r="BK810" s="8"/>
      <c r="BL810" s="2" t="s">
        <v>2712</v>
      </c>
      <c r="BM810" s="7"/>
      <c r="BN810" s="7"/>
      <c r="BO810" s="4"/>
      <c r="BP810" s="8"/>
      <c r="BQ810" s="4">
        <v>122</v>
      </c>
      <c r="BR810" s="8">
        <v>1793.4</v>
      </c>
      <c r="BS810" s="7">
        <v>-1</v>
      </c>
      <c r="BT810" s="7">
        <v>-1</v>
      </c>
      <c r="BU810" s="2" t="s">
        <v>211</v>
      </c>
      <c r="BV810" s="2" t="s">
        <v>352</v>
      </c>
      <c r="BW810" s="2" t="s">
        <v>570</v>
      </c>
      <c r="BX810" s="2" t="s">
        <v>2538</v>
      </c>
      <c r="BY810" s="2" t="s">
        <v>354</v>
      </c>
    </row>
    <row r="811">
      <c r="A811" s="2" t="s">
        <v>2713</v>
      </c>
      <c r="B811" s="2" t="s">
        <v>86</v>
      </c>
      <c r="C811" s="2" t="s">
        <v>2604</v>
      </c>
      <c r="D811" s="2" t="s">
        <v>88</v>
      </c>
      <c r="E811" s="2" t="s">
        <v>88</v>
      </c>
      <c r="F811" s="2" t="s">
        <v>2714</v>
      </c>
      <c r="G811" s="2" t="s">
        <v>2715</v>
      </c>
      <c r="H811" s="2" t="s">
        <v>2716</v>
      </c>
      <c r="I811" s="2" t="s">
        <v>2681</v>
      </c>
      <c r="J811" s="2" t="s">
        <v>93</v>
      </c>
      <c r="K811" s="2" t="s">
        <v>455</v>
      </c>
      <c r="L811" s="3">
        <v>18</v>
      </c>
      <c r="M811" s="3">
        <v>18.9</v>
      </c>
      <c r="N811" s="3">
        <v>39.99</v>
      </c>
      <c r="O811" s="2" t="s">
        <v>95</v>
      </c>
      <c r="P811" s="2" t="s">
        <v>150</v>
      </c>
      <c r="Q811" s="2" t="s">
        <v>97</v>
      </c>
      <c r="R811" s="2" t="s">
        <v>98</v>
      </c>
      <c r="S811" s="2" t="s">
        <v>2717</v>
      </c>
      <c r="T811" s="2" t="s">
        <v>98</v>
      </c>
      <c r="U811" s="2" t="s">
        <v>98</v>
      </c>
      <c r="V811" s="2" t="s">
        <v>617</v>
      </c>
      <c r="W811" s="2" t="s">
        <v>567</v>
      </c>
      <c r="X811" s="2" t="s">
        <v>130</v>
      </c>
      <c r="Y811" s="2" t="s">
        <v>104</v>
      </c>
      <c r="Z811" s="4">
        <v>768</v>
      </c>
      <c r="AA811" s="4">
        <f>=ROUNDDOWN(25.6,0)</f>
      </c>
      <c r="AB811" s="5">
        <v>30</v>
      </c>
      <c r="AC811" s="2" t="s">
        <v>98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2</v>
      </c>
      <c r="AQ811" s="8">
        <v>40</v>
      </c>
      <c r="AR811" s="4">
        <v>401</v>
      </c>
      <c r="AS811" s="8">
        <v>6564.37</v>
      </c>
      <c r="AT811" s="7">
        <v>-0.995</v>
      </c>
      <c r="AU811" s="7">
        <v>-0.9939</v>
      </c>
      <c r="AV811" s="4">
        <v>2</v>
      </c>
      <c r="AW811" s="8">
        <v>40</v>
      </c>
      <c r="AX811" s="4">
        <v>401</v>
      </c>
      <c r="AY811" s="8">
        <v>6564.37</v>
      </c>
      <c r="AZ811" s="7">
        <v>-0.995</v>
      </c>
      <c r="BA811" s="7">
        <v>-0.9939</v>
      </c>
      <c r="BB811" s="7">
        <v>1</v>
      </c>
      <c r="BC811" s="4">
        <v>3</v>
      </c>
      <c r="BD811" s="8">
        <v>60</v>
      </c>
      <c r="BE811" s="4">
        <v>430</v>
      </c>
      <c r="BF811" s="8">
        <v>7039.1</v>
      </c>
      <c r="BG811" s="7">
        <v>-0.993</v>
      </c>
      <c r="BH811" s="7">
        <v>-0.9915</v>
      </c>
      <c r="BI811" s="7">
        <v>0.6667</v>
      </c>
      <c r="BJ811" s="4">
        <v>612</v>
      </c>
      <c r="BK811" s="8">
        <v>10564.25</v>
      </c>
      <c r="BL811" s="2" t="s">
        <v>2718</v>
      </c>
      <c r="BM811" s="7">
        <v>0.0033</v>
      </c>
      <c r="BN811" s="7">
        <v>0.0038</v>
      </c>
      <c r="BO811" s="4">
        <v>2</v>
      </c>
      <c r="BP811" s="8">
        <v>40</v>
      </c>
      <c r="BQ811" s="4">
        <v>401</v>
      </c>
      <c r="BR811" s="8">
        <v>6564.37</v>
      </c>
      <c r="BS811" s="7">
        <v>-0.995</v>
      </c>
      <c r="BT811" s="7">
        <v>-0.9939</v>
      </c>
      <c r="BU811" s="2" t="s">
        <v>211</v>
      </c>
      <c r="BV811" s="2" t="s">
        <v>95</v>
      </c>
      <c r="BW811" s="2" t="s">
        <v>524</v>
      </c>
      <c r="BX811" s="2" t="s">
        <v>2635</v>
      </c>
      <c r="BY811" s="2" t="s">
        <v>111</v>
      </c>
    </row>
    <row r="812">
      <c r="A812" s="2" t="s">
        <v>2719</v>
      </c>
      <c r="B812" s="2" t="s">
        <v>86</v>
      </c>
      <c r="C812" s="2" t="s">
        <v>2604</v>
      </c>
      <c r="D812" s="2" t="s">
        <v>88</v>
      </c>
      <c r="E812" s="2" t="s">
        <v>88</v>
      </c>
      <c r="F812" s="2" t="s">
        <v>2714</v>
      </c>
      <c r="G812" s="2" t="s">
        <v>2715</v>
      </c>
      <c r="H812" s="2" t="s">
        <v>2716</v>
      </c>
      <c r="I812" s="2" t="s">
        <v>2681</v>
      </c>
      <c r="J812" s="2" t="s">
        <v>93</v>
      </c>
      <c r="K812" s="2" t="s">
        <v>551</v>
      </c>
      <c r="L812" s="3">
        <v>18</v>
      </c>
      <c r="M812" s="3">
        <v>18.9</v>
      </c>
      <c r="N812" s="3">
        <v>39.99</v>
      </c>
      <c r="O812" s="2" t="s">
        <v>95</v>
      </c>
      <c r="P812" s="2" t="s">
        <v>220</v>
      </c>
      <c r="Q812" s="2" t="s">
        <v>97</v>
      </c>
      <c r="R812" s="2" t="s">
        <v>98</v>
      </c>
      <c r="S812" s="2" t="s">
        <v>2720</v>
      </c>
      <c r="T812" s="2" t="s">
        <v>98</v>
      </c>
      <c r="U812" s="2" t="s">
        <v>98</v>
      </c>
      <c r="V812" s="2" t="s">
        <v>617</v>
      </c>
      <c r="W812" s="2" t="s">
        <v>567</v>
      </c>
      <c r="X812" s="2" t="s">
        <v>130</v>
      </c>
      <c r="Y812" s="2" t="s">
        <v>104</v>
      </c>
      <c r="Z812" s="4">
        <v>7656</v>
      </c>
      <c r="AA812" s="4">
        <f>=ROUNDDOWN(510.4,0)</f>
      </c>
      <c r="AB812" s="5">
        <v>15</v>
      </c>
      <c r="AC812" s="2" t="s">
        <v>98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1</v>
      </c>
      <c r="AQ812" s="8">
        <v>20</v>
      </c>
      <c r="AR812" s="4">
        <v>29</v>
      </c>
      <c r="AS812" s="8">
        <v>474.73</v>
      </c>
      <c r="AT812" s="7">
        <v>-0.9655</v>
      </c>
      <c r="AU812" s="7">
        <v>-0.9579</v>
      </c>
      <c r="AV812" s="4">
        <v>1</v>
      </c>
      <c r="AW812" s="8">
        <v>20</v>
      </c>
      <c r="AX812" s="4">
        <v>29</v>
      </c>
      <c r="AY812" s="8">
        <v>474.73</v>
      </c>
      <c r="AZ812" s="7">
        <v>-0.9655</v>
      </c>
      <c r="BA812" s="7">
        <v>-0.9579</v>
      </c>
      <c r="BB812" s="7">
        <v>1</v>
      </c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>
        <v>0.3333</v>
      </c>
      <c r="BJ812" s="4">
        <v>99</v>
      </c>
      <c r="BK812" s="8">
        <v>1771.09</v>
      </c>
      <c r="BL812" s="2" t="s">
        <v>2721</v>
      </c>
      <c r="BM812" s="7">
        <v>0.0101</v>
      </c>
      <c r="BN812" s="7">
        <v>0.0113</v>
      </c>
      <c r="BO812" s="4">
        <v>1</v>
      </c>
      <c r="BP812" s="8">
        <v>20</v>
      </c>
      <c r="BQ812" s="4">
        <v>29</v>
      </c>
      <c r="BR812" s="8">
        <v>474.73</v>
      </c>
      <c r="BS812" s="7">
        <v>-0.9655</v>
      </c>
      <c r="BT812" s="7">
        <v>-0.9579</v>
      </c>
      <c r="BU812" s="2" t="s">
        <v>211</v>
      </c>
      <c r="BV812" s="2" t="s">
        <v>95</v>
      </c>
      <c r="BW812" s="2" t="s">
        <v>524</v>
      </c>
      <c r="BX812" s="2" t="s">
        <v>693</v>
      </c>
      <c r="BY812" s="2" t="s">
        <v>111</v>
      </c>
    </row>
    <row r="813">
      <c r="A813" s="2" t="s">
        <v>2722</v>
      </c>
      <c r="B813" s="2" t="s">
        <v>86</v>
      </c>
      <c r="C813" s="2" t="s">
        <v>2604</v>
      </c>
      <c r="D813" s="2" t="s">
        <v>88</v>
      </c>
      <c r="E813" s="2" t="s">
        <v>88</v>
      </c>
      <c r="F813" s="2" t="s">
        <v>2723</v>
      </c>
      <c r="G813" s="2" t="s">
        <v>2724</v>
      </c>
      <c r="H813" s="2" t="s">
        <v>2725</v>
      </c>
      <c r="I813" s="2" t="s">
        <v>2726</v>
      </c>
      <c r="J813" s="2" t="s">
        <v>331</v>
      </c>
      <c r="K813" s="2" t="s">
        <v>458</v>
      </c>
      <c r="L813" s="3">
        <v>13</v>
      </c>
      <c r="M813" s="3">
        <v>13.65</v>
      </c>
      <c r="N813" s="3">
        <v>29.99</v>
      </c>
      <c r="O813" s="2" t="s">
        <v>368</v>
      </c>
      <c r="P813" s="2" t="s">
        <v>215</v>
      </c>
      <c r="Q813" s="2" t="s">
        <v>97</v>
      </c>
      <c r="R813" s="2" t="s">
        <v>98</v>
      </c>
      <c r="S813" s="2" t="s">
        <v>2727</v>
      </c>
      <c r="T813" s="2" t="s">
        <v>98</v>
      </c>
      <c r="U813" s="2" t="s">
        <v>100</v>
      </c>
      <c r="V813" s="2" t="s">
        <v>101</v>
      </c>
      <c r="W813" s="2" t="s">
        <v>2111</v>
      </c>
      <c r="X813" s="2" t="s">
        <v>2728</v>
      </c>
      <c r="Y813" s="2" t="s">
        <v>2729</v>
      </c>
      <c r="Z813" s="4">
        <v>9</v>
      </c>
      <c r="AA813" s="4">
        <f>=ROUNDDOWN(1.8,0)</f>
      </c>
      <c r="AB813" s="5">
        <v>5</v>
      </c>
      <c r="AC813" s="2" t="s">
        <v>98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9</v>
      </c>
      <c r="BK813" s="8">
        <v>114.59</v>
      </c>
      <c r="BL813" s="2" t="s">
        <v>1016</v>
      </c>
      <c r="BM813" s="7"/>
      <c r="BN813" s="7"/>
      <c r="BO813" s="4"/>
      <c r="BP813" s="8"/>
      <c r="BQ813" s="4"/>
      <c r="BR813" s="8"/>
      <c r="BS813" s="7"/>
      <c r="BT813" s="7"/>
      <c r="BU813" s="2" t="s">
        <v>316</v>
      </c>
      <c r="BV813" s="2" t="s">
        <v>95</v>
      </c>
      <c r="BW813" s="2" t="s">
        <v>98</v>
      </c>
      <c r="BX813" s="2" t="s">
        <v>98</v>
      </c>
      <c r="BY813" s="2" t="s">
        <v>111</v>
      </c>
    </row>
    <row r="814">
      <c r="A814" s="2" t="s">
        <v>2730</v>
      </c>
      <c r="B814" s="2" t="s">
        <v>86</v>
      </c>
      <c r="C814" s="2" t="s">
        <v>2604</v>
      </c>
      <c r="D814" s="2" t="s">
        <v>88</v>
      </c>
      <c r="E814" s="2" t="s">
        <v>88</v>
      </c>
      <c r="F814" s="2" t="s">
        <v>2723</v>
      </c>
      <c r="G814" s="2" t="s">
        <v>2724</v>
      </c>
      <c r="H814" s="2" t="s">
        <v>2725</v>
      </c>
      <c r="I814" s="2" t="s">
        <v>2726</v>
      </c>
      <c r="J814" s="2" t="s">
        <v>331</v>
      </c>
      <c r="K814" s="2" t="s">
        <v>299</v>
      </c>
      <c r="L814" s="3">
        <v>13</v>
      </c>
      <c r="M814" s="3">
        <v>13.65</v>
      </c>
      <c r="N814" s="3">
        <v>29.99</v>
      </c>
      <c r="O814" s="2" t="s">
        <v>368</v>
      </c>
      <c r="P814" s="2" t="s">
        <v>215</v>
      </c>
      <c r="Q814" s="2" t="s">
        <v>97</v>
      </c>
      <c r="R814" s="2" t="s">
        <v>98</v>
      </c>
      <c r="S814" s="2" t="s">
        <v>2731</v>
      </c>
      <c r="T814" s="2" t="s">
        <v>98</v>
      </c>
      <c r="U814" s="2" t="s">
        <v>100</v>
      </c>
      <c r="V814" s="2" t="s">
        <v>101</v>
      </c>
      <c r="W814" s="2" t="s">
        <v>2111</v>
      </c>
      <c r="X814" s="2" t="s">
        <v>2728</v>
      </c>
      <c r="Y814" s="2" t="s">
        <v>2729</v>
      </c>
      <c r="Z814" s="4">
        <v>6</v>
      </c>
      <c r="AA814" s="4">
        <f>=ROUNDDOWN(1.11111111111111,0)</f>
      </c>
      <c r="AB814" s="5">
        <v>5.4</v>
      </c>
      <c r="AC814" s="2" t="s">
        <v>98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11</v>
      </c>
      <c r="BK814" s="8">
        <v>121.65</v>
      </c>
      <c r="BL814" s="2" t="s">
        <v>2732</v>
      </c>
      <c r="BM814" s="7"/>
      <c r="BN814" s="7"/>
      <c r="BO814" s="4"/>
      <c r="BP814" s="8"/>
      <c r="BQ814" s="4"/>
      <c r="BR814" s="8"/>
      <c r="BS814" s="7"/>
      <c r="BT814" s="7"/>
      <c r="BU814" s="2" t="s">
        <v>316</v>
      </c>
      <c r="BV814" s="2" t="s">
        <v>95</v>
      </c>
      <c r="BW814" s="2" t="s">
        <v>98</v>
      </c>
      <c r="BX814" s="2" t="s">
        <v>98</v>
      </c>
      <c r="BY814" s="2" t="s">
        <v>111</v>
      </c>
    </row>
    <row r="815">
      <c r="A815" s="2" t="s">
        <v>2733</v>
      </c>
      <c r="B815" s="2" t="s">
        <v>86</v>
      </c>
      <c r="C815" s="2" t="s">
        <v>2604</v>
      </c>
      <c r="D815" s="2" t="s">
        <v>88</v>
      </c>
      <c r="E815" s="2" t="s">
        <v>88</v>
      </c>
      <c r="F815" s="2" t="s">
        <v>2734</v>
      </c>
      <c r="G815" s="2" t="s">
        <v>2735</v>
      </c>
      <c r="H815" s="2" t="s">
        <v>2736</v>
      </c>
      <c r="I815" s="2" t="s">
        <v>2737</v>
      </c>
      <c r="J815" s="2" t="s">
        <v>331</v>
      </c>
      <c r="K815" s="2" t="s">
        <v>2738</v>
      </c>
      <c r="L815" s="3">
        <v>16.25</v>
      </c>
      <c r="M815" s="3">
        <v>17.06</v>
      </c>
      <c r="N815" s="3">
        <v>34.99</v>
      </c>
      <c r="O815" s="2" t="s">
        <v>95</v>
      </c>
      <c r="P815" s="2" t="s">
        <v>150</v>
      </c>
      <c r="Q815" s="2" t="s">
        <v>97</v>
      </c>
      <c r="R815" s="2" t="s">
        <v>98</v>
      </c>
      <c r="S815" s="2" t="s">
        <v>2739</v>
      </c>
      <c r="T815" s="2" t="s">
        <v>878</v>
      </c>
      <c r="U815" s="2" t="s">
        <v>100</v>
      </c>
      <c r="V815" s="2" t="s">
        <v>2740</v>
      </c>
      <c r="W815" s="2" t="s">
        <v>2111</v>
      </c>
      <c r="X815" s="2" t="s">
        <v>130</v>
      </c>
      <c r="Y815" s="2" t="s">
        <v>2741</v>
      </c>
      <c r="Z815" s="4">
        <v>585</v>
      </c>
      <c r="AA815" s="4">
        <f>=ROUNDDOWN(45,0)</f>
      </c>
      <c r="AB815" s="5">
        <v>13</v>
      </c>
      <c r="AC815" s="2" t="s">
        <v>98</v>
      </c>
      <c r="AD815" s="4"/>
      <c r="AE815" s="4"/>
      <c r="AF815" s="6">
        <v>64</v>
      </c>
      <c r="AG815" s="6"/>
      <c r="AH815" s="7">
        <v>0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98</v>
      </c>
      <c r="AW815" s="8" t="s">
        <v>98</v>
      </c>
      <c r="AX815" s="4" t="s">
        <v>98</v>
      </c>
      <c r="AY815" s="8" t="s">
        <v>98</v>
      </c>
      <c r="AZ815" s="7" t="s">
        <v>98</v>
      </c>
      <c r="BA815" s="7" t="s">
        <v>98</v>
      </c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/>
      <c r="BK815" s="8"/>
      <c r="BL815" s="2" t="s">
        <v>98</v>
      </c>
      <c r="BM815" s="7"/>
      <c r="BN815" s="7"/>
      <c r="BO815" s="4"/>
      <c r="BP815" s="8"/>
      <c r="BQ815" s="4"/>
      <c r="BR815" s="8"/>
      <c r="BS815" s="7"/>
      <c r="BT815" s="7"/>
      <c r="BU815" s="2" t="s">
        <v>107</v>
      </c>
      <c r="BV815" s="2" t="s">
        <v>108</v>
      </c>
      <c r="BW815" s="2" t="s">
        <v>2742</v>
      </c>
      <c r="BX815" s="2" t="s">
        <v>1151</v>
      </c>
      <c r="BY815" s="2" t="s">
        <v>111</v>
      </c>
    </row>
    <row r="816">
      <c r="A816" s="2" t="s">
        <v>2743</v>
      </c>
      <c r="B816" s="2" t="s">
        <v>86</v>
      </c>
      <c r="C816" s="2" t="s">
        <v>2604</v>
      </c>
      <c r="D816" s="2" t="s">
        <v>88</v>
      </c>
      <c r="E816" s="2" t="s">
        <v>88</v>
      </c>
      <c r="F816" s="2" t="s">
        <v>2734</v>
      </c>
      <c r="G816" s="2" t="s">
        <v>2735</v>
      </c>
      <c r="H816" s="2" t="s">
        <v>2736</v>
      </c>
      <c r="I816" s="2" t="s">
        <v>2737</v>
      </c>
      <c r="J816" s="2" t="s">
        <v>93</v>
      </c>
      <c r="K816" s="2" t="s">
        <v>2738</v>
      </c>
      <c r="L816" s="3">
        <v>18.38</v>
      </c>
      <c r="M816" s="3">
        <v>19.3</v>
      </c>
      <c r="N816" s="3">
        <v>39.99</v>
      </c>
      <c r="O816" s="2" t="s">
        <v>95</v>
      </c>
      <c r="P816" s="2" t="s">
        <v>150</v>
      </c>
      <c r="Q816" s="2" t="s">
        <v>97</v>
      </c>
      <c r="R816" s="2" t="s">
        <v>98</v>
      </c>
      <c r="S816" s="2" t="s">
        <v>2739</v>
      </c>
      <c r="T816" s="2" t="s">
        <v>878</v>
      </c>
      <c r="U816" s="2" t="s">
        <v>100</v>
      </c>
      <c r="V816" s="2" t="s">
        <v>2740</v>
      </c>
      <c r="W816" s="2" t="s">
        <v>2111</v>
      </c>
      <c r="X816" s="2" t="s">
        <v>130</v>
      </c>
      <c r="Y816" s="2" t="s">
        <v>2741</v>
      </c>
      <c r="Z816" s="4">
        <v>714</v>
      </c>
      <c r="AA816" s="4">
        <f>=ROUNDDOWN(31.0434782608696,0)</f>
      </c>
      <c r="AB816" s="5">
        <v>23</v>
      </c>
      <c r="AC816" s="2" t="s">
        <v>309</v>
      </c>
      <c r="AD816" s="4">
        <v>340</v>
      </c>
      <c r="AE816" s="4">
        <v>340</v>
      </c>
      <c r="AF816" s="6">
        <v>64</v>
      </c>
      <c r="AG816" s="6"/>
      <c r="AH816" s="7">
        <v>0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98</v>
      </c>
      <c r="AW816" s="8" t="s">
        <v>98</v>
      </c>
      <c r="AX816" s="4" t="s">
        <v>98</v>
      </c>
      <c r="AY816" s="8" t="s">
        <v>98</v>
      </c>
      <c r="AZ816" s="7" t="s">
        <v>98</v>
      </c>
      <c r="BA816" s="7" t="s">
        <v>98</v>
      </c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/>
      <c r="BK816" s="8"/>
      <c r="BL816" s="2" t="s">
        <v>98</v>
      </c>
      <c r="BM816" s="7"/>
      <c r="BN816" s="7"/>
      <c r="BO816" s="4"/>
      <c r="BP816" s="8"/>
      <c r="BQ816" s="4"/>
      <c r="BR816" s="8"/>
      <c r="BS816" s="7"/>
      <c r="BT816" s="7"/>
      <c r="BU816" s="2" t="s">
        <v>107</v>
      </c>
      <c r="BV816" s="2" t="s">
        <v>108</v>
      </c>
      <c r="BW816" s="2" t="s">
        <v>2742</v>
      </c>
      <c r="BX816" s="2" t="s">
        <v>2744</v>
      </c>
      <c r="BY816" s="2" t="s">
        <v>111</v>
      </c>
    </row>
    <row r="817">
      <c r="A817" s="2" t="s">
        <v>2745</v>
      </c>
      <c r="B817" s="2" t="s">
        <v>86</v>
      </c>
      <c r="C817" s="2" t="s">
        <v>2604</v>
      </c>
      <c r="D817" s="2" t="s">
        <v>88</v>
      </c>
      <c r="E817" s="2" t="s">
        <v>88</v>
      </c>
      <c r="F817" s="2" t="s">
        <v>2746</v>
      </c>
      <c r="G817" s="2" t="s">
        <v>2747</v>
      </c>
      <c r="H817" s="2" t="s">
        <v>1933</v>
      </c>
      <c r="I817" s="2" t="s">
        <v>2748</v>
      </c>
      <c r="J817" s="2" t="s">
        <v>331</v>
      </c>
      <c r="K817" s="2" t="s">
        <v>2623</v>
      </c>
      <c r="L817" s="3">
        <v>15.75</v>
      </c>
      <c r="M817" s="3">
        <v>16.54</v>
      </c>
      <c r="N817" s="3">
        <v>34.99</v>
      </c>
      <c r="O817" s="2" t="s">
        <v>95</v>
      </c>
      <c r="P817" s="2" t="s">
        <v>150</v>
      </c>
      <c r="Q817" s="2" t="s">
        <v>97</v>
      </c>
      <c r="R817" s="2" t="s">
        <v>98</v>
      </c>
      <c r="S817" s="2" t="s">
        <v>2749</v>
      </c>
      <c r="T817" s="2" t="s">
        <v>878</v>
      </c>
      <c r="U817" s="2" t="s">
        <v>100</v>
      </c>
      <c r="V817" s="2" t="s">
        <v>2333</v>
      </c>
      <c r="W817" s="2" t="s">
        <v>335</v>
      </c>
      <c r="X817" s="2" t="s">
        <v>130</v>
      </c>
      <c r="Y817" s="2" t="s">
        <v>1797</v>
      </c>
      <c r="Z817" s="4">
        <v>628</v>
      </c>
      <c r="AA817" s="4">
        <f>=ROUNDDOWN(25.12,0)</f>
      </c>
      <c r="AB817" s="5">
        <v>25</v>
      </c>
      <c r="AC817" s="2" t="s">
        <v>98</v>
      </c>
      <c r="AD817" s="4"/>
      <c r="AE817" s="4"/>
      <c r="AF817" s="6">
        <v>64</v>
      </c>
      <c r="AG817" s="6">
        <v>47</v>
      </c>
      <c r="AH817" s="7">
        <v>0.7111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98</v>
      </c>
      <c r="AW817" s="8" t="s">
        <v>98</v>
      </c>
      <c r="AX817" s="4" t="s">
        <v>98</v>
      </c>
      <c r="AY817" s="8" t="s">
        <v>98</v>
      </c>
      <c r="AZ817" s="7" t="s">
        <v>98</v>
      </c>
      <c r="BA817" s="7" t="s">
        <v>98</v>
      </c>
      <c r="BB817" s="7"/>
      <c r="BC817" s="4" t="s">
        <v>98</v>
      </c>
      <c r="BD817" s="8" t="s">
        <v>98</v>
      </c>
      <c r="BE817" s="4">
        <v>12</v>
      </c>
      <c r="BF817" s="8">
        <v>192.12</v>
      </c>
      <c r="BG817" s="7" t="s">
        <v>98</v>
      </c>
      <c r="BH817" s="7" t="s">
        <v>98</v>
      </c>
      <c r="BI817" s="7"/>
      <c r="BJ817" s="4">
        <v>83</v>
      </c>
      <c r="BK817" s="8">
        <v>1441.38</v>
      </c>
      <c r="BL817" s="2" t="s">
        <v>2750</v>
      </c>
      <c r="BM817" s="7"/>
      <c r="BN817" s="7"/>
      <c r="BO817" s="4"/>
      <c r="BP817" s="8"/>
      <c r="BQ817" s="4"/>
      <c r="BR817" s="8"/>
      <c r="BS817" s="7"/>
      <c r="BT817" s="7"/>
      <c r="BU817" s="2" t="s">
        <v>211</v>
      </c>
      <c r="BV817" s="2" t="s">
        <v>95</v>
      </c>
      <c r="BW817" s="2" t="s">
        <v>2113</v>
      </c>
      <c r="BX817" s="2" t="s">
        <v>98</v>
      </c>
      <c r="BY817" s="2" t="s">
        <v>111</v>
      </c>
    </row>
    <row r="818">
      <c r="A818" s="2" t="s">
        <v>2751</v>
      </c>
      <c r="B818" s="2" t="s">
        <v>86</v>
      </c>
      <c r="C818" s="2" t="s">
        <v>2604</v>
      </c>
      <c r="D818" s="2" t="s">
        <v>88</v>
      </c>
      <c r="E818" s="2" t="s">
        <v>88</v>
      </c>
      <c r="F818" s="2" t="s">
        <v>2746</v>
      </c>
      <c r="G818" s="2" t="s">
        <v>2747</v>
      </c>
      <c r="H818" s="2" t="s">
        <v>1933</v>
      </c>
      <c r="I818" s="2" t="s">
        <v>2748</v>
      </c>
      <c r="J818" s="2" t="s">
        <v>93</v>
      </c>
      <c r="K818" s="2" t="s">
        <v>2623</v>
      </c>
      <c r="L818" s="3">
        <v>16.8</v>
      </c>
      <c r="M818" s="3">
        <v>17.64</v>
      </c>
      <c r="N818" s="3">
        <v>39.99</v>
      </c>
      <c r="O818" s="2" t="s">
        <v>95</v>
      </c>
      <c r="P818" s="2" t="s">
        <v>150</v>
      </c>
      <c r="Q818" s="2" t="s">
        <v>97</v>
      </c>
      <c r="R818" s="2" t="s">
        <v>98</v>
      </c>
      <c r="S818" s="2" t="s">
        <v>2749</v>
      </c>
      <c r="T818" s="2" t="s">
        <v>878</v>
      </c>
      <c r="U818" s="2" t="s">
        <v>100</v>
      </c>
      <c r="V818" s="2" t="s">
        <v>2333</v>
      </c>
      <c r="W818" s="2" t="s">
        <v>335</v>
      </c>
      <c r="X818" s="2" t="s">
        <v>130</v>
      </c>
      <c r="Y818" s="2" t="s">
        <v>2752</v>
      </c>
      <c r="Z818" s="4">
        <v>881</v>
      </c>
      <c r="AA818" s="4">
        <f>=ROUNDDOWN(35.24,0)</f>
      </c>
      <c r="AB818" s="5">
        <v>25</v>
      </c>
      <c r="AC818" s="2" t="s">
        <v>98</v>
      </c>
      <c r="AD818" s="4"/>
      <c r="AE818" s="4"/>
      <c r="AF818" s="6">
        <v>64</v>
      </c>
      <c r="AG818" s="6">
        <v>47</v>
      </c>
      <c r="AH818" s="7">
        <v>0.8222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98</v>
      </c>
      <c r="AW818" s="8" t="s">
        <v>98</v>
      </c>
      <c r="AX818" s="4" t="s">
        <v>98</v>
      </c>
      <c r="AY818" s="8" t="s">
        <v>98</v>
      </c>
      <c r="AZ818" s="7" t="s">
        <v>98</v>
      </c>
      <c r="BA818" s="7" t="s">
        <v>98</v>
      </c>
      <c r="BB818" s="7"/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>
        <v>244</v>
      </c>
      <c r="BK818" s="8">
        <v>4468.45</v>
      </c>
      <c r="BL818" s="2" t="s">
        <v>2753</v>
      </c>
      <c r="BM818" s="7"/>
      <c r="BN818" s="7"/>
      <c r="BO818" s="4"/>
      <c r="BP818" s="8"/>
      <c r="BQ818" s="4"/>
      <c r="BR818" s="8"/>
      <c r="BS818" s="7"/>
      <c r="BT818" s="7"/>
      <c r="BU818" s="2" t="s">
        <v>211</v>
      </c>
      <c r="BV818" s="2" t="s">
        <v>95</v>
      </c>
      <c r="BW818" s="2" t="s">
        <v>2754</v>
      </c>
      <c r="BX818" s="2" t="s">
        <v>2755</v>
      </c>
      <c r="BY818" s="2" t="s">
        <v>111</v>
      </c>
    </row>
    <row r="819">
      <c r="A819" s="2" t="s">
        <v>2756</v>
      </c>
      <c r="B819" s="2" t="s">
        <v>86</v>
      </c>
      <c r="C819" s="2" t="s">
        <v>2604</v>
      </c>
      <c r="D819" s="2" t="s">
        <v>88</v>
      </c>
      <c r="E819" s="2" t="s">
        <v>88</v>
      </c>
      <c r="F819" s="2" t="s">
        <v>2746</v>
      </c>
      <c r="G819" s="2" t="s">
        <v>2747</v>
      </c>
      <c r="H819" s="2" t="s">
        <v>1933</v>
      </c>
      <c r="I819" s="2" t="s">
        <v>2748</v>
      </c>
      <c r="J819" s="2" t="s">
        <v>2416</v>
      </c>
      <c r="K819" s="2" t="s">
        <v>2341</v>
      </c>
      <c r="L819" s="3">
        <v>16.8</v>
      </c>
      <c r="M819" s="3">
        <v>17.64</v>
      </c>
      <c r="N819" s="3">
        <v>39.99</v>
      </c>
      <c r="O819" s="2" t="s">
        <v>368</v>
      </c>
      <c r="P819" s="2" t="s">
        <v>215</v>
      </c>
      <c r="Q819" s="2" t="s">
        <v>97</v>
      </c>
      <c r="R819" s="2" t="s">
        <v>98</v>
      </c>
      <c r="S819" s="2" t="s">
        <v>2757</v>
      </c>
      <c r="T819" s="2" t="s">
        <v>878</v>
      </c>
      <c r="U819" s="2" t="s">
        <v>100</v>
      </c>
      <c r="V819" s="2" t="s">
        <v>2333</v>
      </c>
      <c r="W819" s="2" t="s">
        <v>335</v>
      </c>
      <c r="X819" s="2" t="s">
        <v>98</v>
      </c>
      <c r="Y819" s="2" t="s">
        <v>2758</v>
      </c>
      <c r="Z819" s="4"/>
      <c r="AA819" s="4">
        <f>=ROUNDDOWN({0},0)</f>
      </c>
      <c r="AB819" s="5"/>
      <c r="AC819" s="2" t="s">
        <v>98</v>
      </c>
      <c r="AD819" s="4"/>
      <c r="AE819" s="4"/>
      <c r="AF819" s="6"/>
      <c r="AG819" s="6"/>
      <c r="AH819" s="7">
        <v>0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>
        <v>12</v>
      </c>
      <c r="AS819" s="8">
        <v>192.12</v>
      </c>
      <c r="AT819" s="7">
        <v>-1</v>
      </c>
      <c r="AU819" s="7">
        <v>-1</v>
      </c>
      <c r="AV819" s="4"/>
      <c r="AW819" s="8"/>
      <c r="AX819" s="4">
        <v>12</v>
      </c>
      <c r="AY819" s="8">
        <v>192.12</v>
      </c>
      <c r="AZ819" s="7">
        <v>-1</v>
      </c>
      <c r="BA819" s="7">
        <v>-1</v>
      </c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/>
      <c r="BK819" s="8"/>
      <c r="BL819" s="2" t="s">
        <v>2759</v>
      </c>
      <c r="BM819" s="7"/>
      <c r="BN819" s="7"/>
      <c r="BO819" s="4"/>
      <c r="BP819" s="8"/>
      <c r="BQ819" s="4">
        <v>12</v>
      </c>
      <c r="BR819" s="8">
        <v>192.12</v>
      </c>
      <c r="BS819" s="7">
        <v>-1</v>
      </c>
      <c r="BT819" s="7">
        <v>-1</v>
      </c>
      <c r="BU819" s="2" t="s">
        <v>211</v>
      </c>
      <c r="BV819" s="2" t="s">
        <v>352</v>
      </c>
      <c r="BW819" s="2" t="s">
        <v>801</v>
      </c>
      <c r="BX819" s="2" t="s">
        <v>2760</v>
      </c>
      <c r="BY819" s="2" t="s">
        <v>111</v>
      </c>
    </row>
    <row r="820">
      <c r="A820" s="2" t="s">
        <v>2761</v>
      </c>
      <c r="B820" s="2" t="s">
        <v>86</v>
      </c>
      <c r="C820" s="2" t="s">
        <v>2604</v>
      </c>
      <c r="D820" s="2" t="s">
        <v>88</v>
      </c>
      <c r="E820" s="2" t="s">
        <v>1597</v>
      </c>
      <c r="F820" s="2" t="s">
        <v>2762</v>
      </c>
      <c r="G820" s="2" t="s">
        <v>2763</v>
      </c>
      <c r="H820" s="2" t="s">
        <v>2764</v>
      </c>
      <c r="I820" s="2" t="s">
        <v>2765</v>
      </c>
      <c r="J820" s="2" t="s">
        <v>809</v>
      </c>
      <c r="K820" s="2" t="s">
        <v>551</v>
      </c>
      <c r="L820" s="3">
        <v>18.8</v>
      </c>
      <c r="M820" s="3">
        <v>19.74</v>
      </c>
      <c r="N820" s="3">
        <v>39.99</v>
      </c>
      <c r="O820" s="2" t="s">
        <v>241</v>
      </c>
      <c r="P820" s="2" t="s">
        <v>215</v>
      </c>
      <c r="Q820" s="2" t="s">
        <v>97</v>
      </c>
      <c r="R820" s="2" t="s">
        <v>98</v>
      </c>
      <c r="S820" s="2" t="s">
        <v>2766</v>
      </c>
      <c r="T820" s="2" t="s">
        <v>98</v>
      </c>
      <c r="U820" s="2" t="s">
        <v>98</v>
      </c>
      <c r="V820" s="2" t="s">
        <v>617</v>
      </c>
      <c r="W820" s="2" t="s">
        <v>335</v>
      </c>
      <c r="X820" s="2" t="s">
        <v>98</v>
      </c>
      <c r="Y820" s="2" t="s">
        <v>104</v>
      </c>
      <c r="Z820" s="4">
        <v>366</v>
      </c>
      <c r="AA820" s="4">
        <f>=ROUNDDOWN(74.6938775510204,0)</f>
      </c>
      <c r="AB820" s="5">
        <v>4.9</v>
      </c>
      <c r="AC820" s="2" t="s">
        <v>98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9</v>
      </c>
      <c r="AQ820" s="8">
        <v>93.6</v>
      </c>
      <c r="AR820" s="4">
        <v>13</v>
      </c>
      <c r="AS820" s="8">
        <v>236.47</v>
      </c>
      <c r="AT820" s="7">
        <v>-0.3077</v>
      </c>
      <c r="AU820" s="7">
        <v>-0.6042</v>
      </c>
      <c r="AV820" s="4">
        <v>51</v>
      </c>
      <c r="AW820" s="8">
        <v>555.6</v>
      </c>
      <c r="AX820" s="4">
        <v>17</v>
      </c>
      <c r="AY820" s="8">
        <v>319.63</v>
      </c>
      <c r="AZ820" s="7">
        <v>2</v>
      </c>
      <c r="BA820" s="7">
        <v>0.7383</v>
      </c>
      <c r="BB820" s="7">
        <v>0.1685</v>
      </c>
      <c r="BC820" s="4">
        <v>62</v>
      </c>
      <c r="BD820" s="8">
        <v>787.89</v>
      </c>
      <c r="BE820" s="4">
        <v>57</v>
      </c>
      <c r="BF820" s="8">
        <v>1122.63</v>
      </c>
      <c r="BG820" s="7">
        <v>0.0877</v>
      </c>
      <c r="BH820" s="7">
        <v>-0.2982</v>
      </c>
      <c r="BI820" s="7">
        <v>0.7052</v>
      </c>
      <c r="BJ820" s="4">
        <v>42</v>
      </c>
      <c r="BK820" s="8">
        <v>631.49</v>
      </c>
      <c r="BL820" s="2" t="s">
        <v>2767</v>
      </c>
      <c r="BM820" s="7">
        <v>0.2143</v>
      </c>
      <c r="BN820" s="7">
        <v>0.1482</v>
      </c>
      <c r="BO820" s="4">
        <v>9</v>
      </c>
      <c r="BP820" s="8">
        <v>93.6</v>
      </c>
      <c r="BQ820" s="4">
        <v>13</v>
      </c>
      <c r="BR820" s="8">
        <v>236.47</v>
      </c>
      <c r="BS820" s="7">
        <v>-0.3077</v>
      </c>
      <c r="BT820" s="7">
        <v>-0.6042</v>
      </c>
      <c r="BU820" s="2" t="s">
        <v>211</v>
      </c>
      <c r="BV820" s="2" t="s">
        <v>95</v>
      </c>
      <c r="BW820" s="2" t="s">
        <v>109</v>
      </c>
      <c r="BX820" s="2" t="s">
        <v>2768</v>
      </c>
      <c r="BY820" s="2" t="s">
        <v>354</v>
      </c>
    </row>
    <row r="821">
      <c r="A821" s="2" t="s">
        <v>2769</v>
      </c>
      <c r="B821" s="2" t="s">
        <v>86</v>
      </c>
      <c r="C821" s="2" t="s">
        <v>2604</v>
      </c>
      <c r="D821" s="2" t="s">
        <v>88</v>
      </c>
      <c r="E821" s="2" t="s">
        <v>1597</v>
      </c>
      <c r="F821" s="2" t="s">
        <v>2762</v>
      </c>
      <c r="G821" s="2" t="s">
        <v>2763</v>
      </c>
      <c r="H821" s="2" t="s">
        <v>2764</v>
      </c>
      <c r="I821" s="2" t="s">
        <v>2765</v>
      </c>
      <c r="J821" s="2" t="s">
        <v>814</v>
      </c>
      <c r="K821" s="2" t="s">
        <v>551</v>
      </c>
      <c r="L821" s="3">
        <v>20</v>
      </c>
      <c r="M821" s="3">
        <v>20.99</v>
      </c>
      <c r="N821" s="3">
        <v>39.99</v>
      </c>
      <c r="O821" s="2" t="s">
        <v>241</v>
      </c>
      <c r="P821" s="2" t="s">
        <v>215</v>
      </c>
      <c r="Q821" s="2" t="s">
        <v>97</v>
      </c>
      <c r="R821" s="2" t="s">
        <v>98</v>
      </c>
      <c r="S821" s="2" t="s">
        <v>2766</v>
      </c>
      <c r="T821" s="2" t="s">
        <v>98</v>
      </c>
      <c r="U821" s="2" t="s">
        <v>98</v>
      </c>
      <c r="V821" s="2" t="s">
        <v>617</v>
      </c>
      <c r="W821" s="2" t="s">
        <v>335</v>
      </c>
      <c r="X821" s="2" t="s">
        <v>98</v>
      </c>
      <c r="Y821" s="2" t="s">
        <v>104</v>
      </c>
      <c r="Z821" s="4">
        <v>250</v>
      </c>
      <c r="AA821" s="4">
        <f>=ROUNDDOWN(108.695652173913,0)</f>
      </c>
      <c r="AB821" s="5">
        <v>2.3</v>
      </c>
      <c r="AC821" s="2" t="s">
        <v>98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42</v>
      </c>
      <c r="AQ821" s="8">
        <v>462</v>
      </c>
      <c r="AR821" s="4">
        <v>4</v>
      </c>
      <c r="AS821" s="8">
        <v>83.16</v>
      </c>
      <c r="AT821" s="7">
        <v>9.5</v>
      </c>
      <c r="AU821" s="7">
        <v>4.5556</v>
      </c>
      <c r="AV821" s="4" t="s">
        <v>98</v>
      </c>
      <c r="AW821" s="8" t="s">
        <v>98</v>
      </c>
      <c r="AX821" s="4" t="s">
        <v>98</v>
      </c>
      <c r="AY821" s="8" t="s">
        <v>98</v>
      </c>
      <c r="AZ821" s="7" t="s">
        <v>98</v>
      </c>
      <c r="BA821" s="7" t="s">
        <v>98</v>
      </c>
      <c r="BB821" s="7">
        <v>0.8315</v>
      </c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 t="s">
        <v>98</v>
      </c>
      <c r="BJ821" s="4">
        <v>152</v>
      </c>
      <c r="BK821" s="8">
        <v>2993.18</v>
      </c>
      <c r="BL821" s="2" t="s">
        <v>2770</v>
      </c>
      <c r="BM821" s="7">
        <v>0.2763</v>
      </c>
      <c r="BN821" s="7">
        <v>0.1544</v>
      </c>
      <c r="BO821" s="4">
        <v>42</v>
      </c>
      <c r="BP821" s="8">
        <v>462</v>
      </c>
      <c r="BQ821" s="4">
        <v>4</v>
      </c>
      <c r="BR821" s="8">
        <v>83.16</v>
      </c>
      <c r="BS821" s="7">
        <v>9.5</v>
      </c>
      <c r="BT821" s="7">
        <v>4.5556</v>
      </c>
      <c r="BU821" s="2" t="s">
        <v>211</v>
      </c>
      <c r="BV821" s="2" t="s">
        <v>95</v>
      </c>
      <c r="BW821" s="2" t="s">
        <v>109</v>
      </c>
      <c r="BX821" s="2" t="s">
        <v>2768</v>
      </c>
      <c r="BY821" s="2" t="s">
        <v>354</v>
      </c>
    </row>
    <row r="822">
      <c r="A822" s="2" t="s">
        <v>2771</v>
      </c>
      <c r="B822" s="2" t="s">
        <v>86</v>
      </c>
      <c r="C822" s="2" t="s">
        <v>2604</v>
      </c>
      <c r="D822" s="2" t="s">
        <v>88</v>
      </c>
      <c r="E822" s="2" t="s">
        <v>1597</v>
      </c>
      <c r="F822" s="2" t="s">
        <v>2762</v>
      </c>
      <c r="G822" s="2" t="s">
        <v>2763</v>
      </c>
      <c r="H822" s="2" t="s">
        <v>2764</v>
      </c>
      <c r="I822" s="2" t="s">
        <v>2765</v>
      </c>
      <c r="J822" s="2" t="s">
        <v>809</v>
      </c>
      <c r="K822" s="2" t="s">
        <v>455</v>
      </c>
      <c r="L822" s="3">
        <v>18.8</v>
      </c>
      <c r="M822" s="3">
        <v>19.74</v>
      </c>
      <c r="N822" s="3">
        <v>39.99</v>
      </c>
      <c r="O822" s="2" t="s">
        <v>241</v>
      </c>
      <c r="P822" s="2" t="s">
        <v>215</v>
      </c>
      <c r="Q822" s="2" t="s">
        <v>97</v>
      </c>
      <c r="R822" s="2" t="s">
        <v>98</v>
      </c>
      <c r="S822" s="2" t="s">
        <v>2772</v>
      </c>
      <c r="T822" s="2" t="s">
        <v>98</v>
      </c>
      <c r="U822" s="2" t="s">
        <v>98</v>
      </c>
      <c r="V822" s="2" t="s">
        <v>617</v>
      </c>
      <c r="W822" s="2" t="s">
        <v>335</v>
      </c>
      <c r="X822" s="2" t="s">
        <v>98</v>
      </c>
      <c r="Y822" s="2" t="s">
        <v>104</v>
      </c>
      <c r="Z822" s="4">
        <v>1660</v>
      </c>
      <c r="AA822" s="4">
        <f>=ROUNDDOWN(415,0)</f>
      </c>
      <c r="AB822" s="5">
        <v>4</v>
      </c>
      <c r="AC822" s="2" t="s">
        <v>98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8</v>
      </c>
      <c r="AQ822" s="8">
        <v>166.32</v>
      </c>
      <c r="AR822" s="4">
        <v>11</v>
      </c>
      <c r="AS822" s="8">
        <v>200.09</v>
      </c>
      <c r="AT822" s="7">
        <v>-0.2727</v>
      </c>
      <c r="AU822" s="7">
        <v>-0.1688</v>
      </c>
      <c r="AV822" s="4">
        <v>11</v>
      </c>
      <c r="AW822" s="8">
        <v>232.29</v>
      </c>
      <c r="AX822" s="4">
        <v>40</v>
      </c>
      <c r="AY822" s="8">
        <v>803</v>
      </c>
      <c r="AZ822" s="7">
        <v>-0.725</v>
      </c>
      <c r="BA822" s="7">
        <v>-0.7107</v>
      </c>
      <c r="BB822" s="7">
        <v>0.716</v>
      </c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>
        <v>0.2948</v>
      </c>
      <c r="BJ822" s="4">
        <v>31</v>
      </c>
      <c r="BK822" s="8">
        <v>615.72</v>
      </c>
      <c r="BL822" s="2" t="s">
        <v>2773</v>
      </c>
      <c r="BM822" s="7">
        <v>0.2581</v>
      </c>
      <c r="BN822" s="7">
        <v>0.2701</v>
      </c>
      <c r="BO822" s="4">
        <v>8</v>
      </c>
      <c r="BP822" s="8">
        <v>166.32</v>
      </c>
      <c r="BQ822" s="4">
        <v>11</v>
      </c>
      <c r="BR822" s="8">
        <v>200.09</v>
      </c>
      <c r="BS822" s="7">
        <v>-0.2727</v>
      </c>
      <c r="BT822" s="7">
        <v>-0.1688</v>
      </c>
      <c r="BU822" s="2" t="s">
        <v>211</v>
      </c>
      <c r="BV822" s="2" t="s">
        <v>95</v>
      </c>
      <c r="BW822" s="2" t="s">
        <v>109</v>
      </c>
      <c r="BX822" s="2" t="s">
        <v>2774</v>
      </c>
      <c r="BY822" s="2" t="s">
        <v>111</v>
      </c>
    </row>
    <row r="823">
      <c r="A823" s="2" t="s">
        <v>2775</v>
      </c>
      <c r="B823" s="2" t="s">
        <v>86</v>
      </c>
      <c r="C823" s="2" t="s">
        <v>2604</v>
      </c>
      <c r="D823" s="2" t="s">
        <v>88</v>
      </c>
      <c r="E823" s="2" t="s">
        <v>1597</v>
      </c>
      <c r="F823" s="2" t="s">
        <v>2762</v>
      </c>
      <c r="G823" s="2" t="s">
        <v>2763</v>
      </c>
      <c r="H823" s="2" t="s">
        <v>2764</v>
      </c>
      <c r="I823" s="2" t="s">
        <v>2765</v>
      </c>
      <c r="J823" s="2" t="s">
        <v>814</v>
      </c>
      <c r="K823" s="2" t="s">
        <v>455</v>
      </c>
      <c r="L823" s="3">
        <v>20</v>
      </c>
      <c r="M823" s="3">
        <v>20.99</v>
      </c>
      <c r="N823" s="3">
        <v>39.99</v>
      </c>
      <c r="O823" s="2" t="s">
        <v>241</v>
      </c>
      <c r="P823" s="2" t="s">
        <v>215</v>
      </c>
      <c r="Q823" s="2" t="s">
        <v>97</v>
      </c>
      <c r="R823" s="2" t="s">
        <v>98</v>
      </c>
      <c r="S823" s="2" t="s">
        <v>2772</v>
      </c>
      <c r="T823" s="2" t="s">
        <v>98</v>
      </c>
      <c r="U823" s="2" t="s">
        <v>98</v>
      </c>
      <c r="V823" s="2" t="s">
        <v>617</v>
      </c>
      <c r="W823" s="2" t="s">
        <v>335</v>
      </c>
      <c r="X823" s="2" t="s">
        <v>98</v>
      </c>
      <c r="Y823" s="2" t="s">
        <v>104</v>
      </c>
      <c r="Z823" s="4">
        <v>1502</v>
      </c>
      <c r="AA823" s="4">
        <f>=ROUNDDOWN(187.75,0)</f>
      </c>
      <c r="AB823" s="5">
        <v>8</v>
      </c>
      <c r="AC823" s="2" t="s">
        <v>98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3</v>
      </c>
      <c r="AQ823" s="8">
        <v>65.97</v>
      </c>
      <c r="AR823" s="4">
        <v>29</v>
      </c>
      <c r="AS823" s="8">
        <v>602.91</v>
      </c>
      <c r="AT823" s="7">
        <v>-0.8966</v>
      </c>
      <c r="AU823" s="7">
        <v>-0.8906</v>
      </c>
      <c r="AV823" s="4" t="s">
        <v>98</v>
      </c>
      <c r="AW823" s="8" t="s">
        <v>98</v>
      </c>
      <c r="AX823" s="4" t="s">
        <v>98</v>
      </c>
      <c r="AY823" s="8" t="s">
        <v>98</v>
      </c>
      <c r="AZ823" s="7" t="s">
        <v>98</v>
      </c>
      <c r="BA823" s="7" t="s">
        <v>98</v>
      </c>
      <c r="BB823" s="7">
        <v>0.284</v>
      </c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 t="s">
        <v>98</v>
      </c>
      <c r="BJ823" s="4">
        <v>46</v>
      </c>
      <c r="BK823" s="8">
        <v>1067.47</v>
      </c>
      <c r="BL823" s="2" t="s">
        <v>2776</v>
      </c>
      <c r="BM823" s="7">
        <v>0.0652</v>
      </c>
      <c r="BN823" s="7">
        <v>0.0618</v>
      </c>
      <c r="BO823" s="4">
        <v>3</v>
      </c>
      <c r="BP823" s="8">
        <v>65.97</v>
      </c>
      <c r="BQ823" s="4">
        <v>29</v>
      </c>
      <c r="BR823" s="8">
        <v>602.91</v>
      </c>
      <c r="BS823" s="7">
        <v>-0.8966</v>
      </c>
      <c r="BT823" s="7">
        <v>-0.8906</v>
      </c>
      <c r="BU823" s="2" t="s">
        <v>211</v>
      </c>
      <c r="BV823" s="2" t="s">
        <v>95</v>
      </c>
      <c r="BW823" s="2" t="s">
        <v>109</v>
      </c>
      <c r="BX823" s="2" t="s">
        <v>2777</v>
      </c>
      <c r="BY823" s="2" t="s">
        <v>111</v>
      </c>
    </row>
    <row r="824">
      <c r="A824" s="2" t="s">
        <v>2778</v>
      </c>
      <c r="B824" s="2" t="s">
        <v>86</v>
      </c>
      <c r="C824" s="2" t="s">
        <v>2604</v>
      </c>
      <c r="D824" s="2" t="s">
        <v>88</v>
      </c>
      <c r="E824" s="2" t="s">
        <v>1597</v>
      </c>
      <c r="F824" s="2" t="s">
        <v>2605</v>
      </c>
      <c r="G824" s="2" t="s">
        <v>2606</v>
      </c>
      <c r="H824" s="2" t="s">
        <v>2607</v>
      </c>
      <c r="I824" s="2" t="s">
        <v>2779</v>
      </c>
      <c r="J824" s="2" t="s">
        <v>1470</v>
      </c>
      <c r="K824" s="2" t="s">
        <v>2341</v>
      </c>
      <c r="L824" s="3">
        <v>32.5</v>
      </c>
      <c r="M824" s="3">
        <v>34.13</v>
      </c>
      <c r="N824" s="3">
        <v>69.99</v>
      </c>
      <c r="O824" s="2" t="s">
        <v>95</v>
      </c>
      <c r="P824" s="2" t="s">
        <v>313</v>
      </c>
      <c r="Q824" s="2" t="s">
        <v>97</v>
      </c>
      <c r="R824" s="2" t="s">
        <v>98</v>
      </c>
      <c r="S824" s="2" t="s">
        <v>2615</v>
      </c>
      <c r="T824" s="2" t="s">
        <v>98</v>
      </c>
      <c r="U824" s="2" t="s">
        <v>1494</v>
      </c>
      <c r="V824" s="2" t="s">
        <v>617</v>
      </c>
      <c r="W824" s="2" t="s">
        <v>567</v>
      </c>
      <c r="X824" s="2" t="s">
        <v>130</v>
      </c>
      <c r="Y824" s="2" t="s">
        <v>2780</v>
      </c>
      <c r="Z824" s="4">
        <v>419</v>
      </c>
      <c r="AA824" s="4">
        <f>=ROUNDDOWN(38.4403669724771,0)</f>
      </c>
      <c r="AB824" s="5">
        <v>10.9</v>
      </c>
      <c r="AC824" s="2" t="s">
        <v>98</v>
      </c>
      <c r="AD824" s="4"/>
      <c r="AE824" s="4"/>
      <c r="AF824" s="6">
        <v>65</v>
      </c>
      <c r="AG824" s="6"/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316</v>
      </c>
      <c r="BV824" s="2" t="s">
        <v>95</v>
      </c>
      <c r="BW824" s="2" t="s">
        <v>98</v>
      </c>
      <c r="BX824" s="2" t="s">
        <v>98</v>
      </c>
      <c r="BY824" s="2" t="s">
        <v>111</v>
      </c>
    </row>
    <row r="825">
      <c r="A825" s="2" t="s">
        <v>2781</v>
      </c>
      <c r="B825" s="2" t="s">
        <v>86</v>
      </c>
      <c r="C825" s="2" t="s">
        <v>2604</v>
      </c>
      <c r="D825" s="2" t="s">
        <v>88</v>
      </c>
      <c r="E825" s="2" t="s">
        <v>1597</v>
      </c>
      <c r="F825" s="2" t="s">
        <v>2605</v>
      </c>
      <c r="G825" s="2" t="s">
        <v>2606</v>
      </c>
      <c r="H825" s="2" t="s">
        <v>2607</v>
      </c>
      <c r="I825" s="2" t="s">
        <v>2779</v>
      </c>
      <c r="J825" s="2" t="s">
        <v>1470</v>
      </c>
      <c r="K825" s="2" t="s">
        <v>2642</v>
      </c>
      <c r="L825" s="3">
        <v>32.5</v>
      </c>
      <c r="M825" s="3">
        <v>34.13</v>
      </c>
      <c r="N825" s="3">
        <v>69.99</v>
      </c>
      <c r="O825" s="2" t="s">
        <v>95</v>
      </c>
      <c r="P825" s="2" t="s">
        <v>313</v>
      </c>
      <c r="Q825" s="2" t="s">
        <v>97</v>
      </c>
      <c r="R825" s="2" t="s">
        <v>98</v>
      </c>
      <c r="S825" s="2" t="s">
        <v>2643</v>
      </c>
      <c r="T825" s="2" t="s">
        <v>98</v>
      </c>
      <c r="U825" s="2" t="s">
        <v>1494</v>
      </c>
      <c r="V825" s="2" t="s">
        <v>617</v>
      </c>
      <c r="W825" s="2" t="s">
        <v>567</v>
      </c>
      <c r="X825" s="2" t="s">
        <v>130</v>
      </c>
      <c r="Y825" s="2" t="s">
        <v>2780</v>
      </c>
      <c r="Z825" s="4">
        <v>426</v>
      </c>
      <c r="AA825" s="4">
        <f>=ROUNDDOWN(29.5833333333333,0)</f>
      </c>
      <c r="AB825" s="5">
        <v>14.4</v>
      </c>
      <c r="AC825" s="2" t="s">
        <v>98</v>
      </c>
      <c r="AD825" s="4"/>
      <c r="AE825" s="4"/>
      <c r="AF825" s="6">
        <v>65</v>
      </c>
      <c r="AG825" s="6"/>
      <c r="AH825" s="7">
        <v>0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316</v>
      </c>
      <c r="BV825" s="2" t="s">
        <v>95</v>
      </c>
      <c r="BW825" s="2" t="s">
        <v>98</v>
      </c>
      <c r="BX825" s="2" t="s">
        <v>98</v>
      </c>
      <c r="BY825" s="2" t="s">
        <v>111</v>
      </c>
    </row>
    <row r="826">
      <c r="A826" s="2" t="s">
        <v>2782</v>
      </c>
      <c r="B826" s="2" t="s">
        <v>86</v>
      </c>
      <c r="C826" s="2" t="s">
        <v>2604</v>
      </c>
      <c r="D826" s="2" t="s">
        <v>1984</v>
      </c>
      <c r="E826" s="2" t="s">
        <v>2783</v>
      </c>
      <c r="F826" s="2" t="s">
        <v>2784</v>
      </c>
      <c r="G826" s="2" t="s">
        <v>2785</v>
      </c>
      <c r="H826" s="2" t="s">
        <v>2786</v>
      </c>
      <c r="I826" s="2" t="s">
        <v>2787</v>
      </c>
      <c r="J826" s="2" t="s">
        <v>2006</v>
      </c>
      <c r="K826" s="2" t="s">
        <v>400</v>
      </c>
      <c r="L826" s="3">
        <v>20.7</v>
      </c>
      <c r="M826" s="3">
        <v>21.74</v>
      </c>
      <c r="N826" s="3">
        <v>44.99</v>
      </c>
      <c r="O826" s="2" t="s">
        <v>95</v>
      </c>
      <c r="P826" s="2" t="s">
        <v>96</v>
      </c>
      <c r="Q826" s="2" t="s">
        <v>97</v>
      </c>
      <c r="R826" s="2" t="s">
        <v>98</v>
      </c>
      <c r="S826" s="2" t="s">
        <v>2788</v>
      </c>
      <c r="T826" s="2" t="s">
        <v>98</v>
      </c>
      <c r="U826" s="2" t="s">
        <v>100</v>
      </c>
      <c r="V826" s="2" t="s">
        <v>101</v>
      </c>
      <c r="W826" s="2" t="s">
        <v>567</v>
      </c>
      <c r="X826" s="2" t="s">
        <v>98</v>
      </c>
      <c r="Y826" s="2" t="s">
        <v>2789</v>
      </c>
      <c r="Z826" s="4">
        <v>1712</v>
      </c>
      <c r="AA826" s="4">
        <f>=ROUNDDOWN(5.90344827586207,0)</f>
      </c>
      <c r="AB826" s="5">
        <v>290</v>
      </c>
      <c r="AC826" s="2" t="s">
        <v>179</v>
      </c>
      <c r="AD826" s="4">
        <v>1200</v>
      </c>
      <c r="AE826" s="4">
        <v>10695</v>
      </c>
      <c r="AF826" s="6">
        <v>65</v>
      </c>
      <c r="AG826" s="6"/>
      <c r="AH826" s="7">
        <v>1</v>
      </c>
      <c r="AI826" s="4"/>
      <c r="AJ826" s="4">
        <f>=ROUNDDOWN({0},0)</f>
      </c>
      <c r="AK826" s="5">
        <v>1</v>
      </c>
      <c r="AL826" s="2" t="s">
        <v>98</v>
      </c>
      <c r="AM826" s="4"/>
      <c r="AN826" s="4"/>
      <c r="AO826" s="7">
        <v>0.5444</v>
      </c>
      <c r="AP826" s="4">
        <v>34</v>
      </c>
      <c r="AQ826" s="8">
        <v>690.3</v>
      </c>
      <c r="AR826" s="4">
        <v>666</v>
      </c>
      <c r="AS826" s="8">
        <v>10402.92</v>
      </c>
      <c r="AT826" s="7">
        <v>-0.9489</v>
      </c>
      <c r="AU826" s="7">
        <v>-0.9336</v>
      </c>
      <c r="AV826" s="4">
        <v>34</v>
      </c>
      <c r="AW826" s="8">
        <v>690.3</v>
      </c>
      <c r="AX826" s="4">
        <v>666</v>
      </c>
      <c r="AY826" s="8">
        <v>10402.92</v>
      </c>
      <c r="AZ826" s="7">
        <v>-0.9489</v>
      </c>
      <c r="BA826" s="7">
        <v>-0.9336</v>
      </c>
      <c r="BB826" s="7">
        <v>1</v>
      </c>
      <c r="BC826" s="4">
        <v>126</v>
      </c>
      <c r="BD826" s="8">
        <v>2575.8</v>
      </c>
      <c r="BE826" s="4">
        <v>2721</v>
      </c>
      <c r="BF826" s="8">
        <v>42575.37</v>
      </c>
      <c r="BG826" s="7">
        <v>-0.9537</v>
      </c>
      <c r="BH826" s="7">
        <v>-0.9395</v>
      </c>
      <c r="BI826" s="7">
        <v>0.268</v>
      </c>
      <c r="BJ826" s="4">
        <v>910</v>
      </c>
      <c r="BK826" s="8">
        <v>18238.61</v>
      </c>
      <c r="BL826" s="2" t="s">
        <v>2790</v>
      </c>
      <c r="BM826" s="7">
        <v>0.0374</v>
      </c>
      <c r="BN826" s="7">
        <v>0.0378</v>
      </c>
      <c r="BO826" s="4">
        <v>34</v>
      </c>
      <c r="BP826" s="8">
        <v>690.3</v>
      </c>
      <c r="BQ826" s="4">
        <v>666</v>
      </c>
      <c r="BR826" s="8">
        <v>10402.92</v>
      </c>
      <c r="BS826" s="7">
        <v>-0.9489</v>
      </c>
      <c r="BT826" s="7">
        <v>-0.9336</v>
      </c>
      <c r="BU826" s="2" t="s">
        <v>211</v>
      </c>
      <c r="BV826" s="2" t="s">
        <v>95</v>
      </c>
      <c r="BW826" s="2" t="s">
        <v>1834</v>
      </c>
      <c r="BX826" s="2" t="s">
        <v>702</v>
      </c>
      <c r="BY826" s="2" t="s">
        <v>111</v>
      </c>
    </row>
    <row r="827">
      <c r="A827" s="2" t="s">
        <v>2791</v>
      </c>
      <c r="B827" s="2" t="s">
        <v>86</v>
      </c>
      <c r="C827" s="2" t="s">
        <v>2604</v>
      </c>
      <c r="D827" s="2" t="s">
        <v>1984</v>
      </c>
      <c r="E827" s="2" t="s">
        <v>2783</v>
      </c>
      <c r="F827" s="2" t="s">
        <v>2784</v>
      </c>
      <c r="G827" s="2" t="s">
        <v>2785</v>
      </c>
      <c r="H827" s="2" t="s">
        <v>2786</v>
      </c>
      <c r="I827" s="2" t="s">
        <v>2787</v>
      </c>
      <c r="J827" s="2" t="s">
        <v>2006</v>
      </c>
      <c r="K827" s="2" t="s">
        <v>299</v>
      </c>
      <c r="L827" s="3">
        <v>20.7</v>
      </c>
      <c r="M827" s="3">
        <v>21.74</v>
      </c>
      <c r="N827" s="3">
        <v>44.99</v>
      </c>
      <c r="O827" s="2" t="s">
        <v>95</v>
      </c>
      <c r="P827" s="2" t="s">
        <v>150</v>
      </c>
      <c r="Q827" s="2" t="s">
        <v>97</v>
      </c>
      <c r="R827" s="2" t="s">
        <v>98</v>
      </c>
      <c r="S827" s="2" t="s">
        <v>2792</v>
      </c>
      <c r="T827" s="2" t="s">
        <v>98</v>
      </c>
      <c r="U827" s="2" t="s">
        <v>100</v>
      </c>
      <c r="V827" s="2" t="s">
        <v>101</v>
      </c>
      <c r="W827" s="2" t="s">
        <v>567</v>
      </c>
      <c r="X827" s="2" t="s">
        <v>98</v>
      </c>
      <c r="Y827" s="2" t="s">
        <v>2793</v>
      </c>
      <c r="Z827" s="4">
        <v>746</v>
      </c>
      <c r="AA827" s="4">
        <f>=ROUNDDOWN(9.94666666666667,0)</f>
      </c>
      <c r="AB827" s="5">
        <v>75</v>
      </c>
      <c r="AC827" s="2" t="s">
        <v>278</v>
      </c>
      <c r="AD827" s="4">
        <v>500</v>
      </c>
      <c r="AE827" s="4">
        <v>2000</v>
      </c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25</v>
      </c>
      <c r="AQ827" s="8">
        <v>517.5</v>
      </c>
      <c r="AR827" s="4">
        <v>60</v>
      </c>
      <c r="AS827" s="8">
        <v>964.2</v>
      </c>
      <c r="AT827" s="7">
        <v>-0.5833</v>
      </c>
      <c r="AU827" s="7">
        <v>-0.4633</v>
      </c>
      <c r="AV827" s="4">
        <v>25</v>
      </c>
      <c r="AW827" s="8">
        <v>517.5</v>
      </c>
      <c r="AX827" s="4">
        <v>60</v>
      </c>
      <c r="AY827" s="8">
        <v>964.2</v>
      </c>
      <c r="AZ827" s="7">
        <v>-0.5833</v>
      </c>
      <c r="BA827" s="7">
        <v>-0.4633</v>
      </c>
      <c r="BB827" s="7">
        <v>1</v>
      </c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>
        <v>0.2009</v>
      </c>
      <c r="BJ827" s="4">
        <v>616</v>
      </c>
      <c r="BK827" s="8">
        <v>12344.11</v>
      </c>
      <c r="BL827" s="2" t="s">
        <v>2794</v>
      </c>
      <c r="BM827" s="7">
        <v>0.0406</v>
      </c>
      <c r="BN827" s="7">
        <v>0.0419</v>
      </c>
      <c r="BO827" s="4">
        <v>25</v>
      </c>
      <c r="BP827" s="8">
        <v>517.5</v>
      </c>
      <c r="BQ827" s="4">
        <v>60</v>
      </c>
      <c r="BR827" s="8">
        <v>964.2</v>
      </c>
      <c r="BS827" s="7">
        <v>-0.5833</v>
      </c>
      <c r="BT827" s="7">
        <v>-0.4633</v>
      </c>
      <c r="BU827" s="2" t="s">
        <v>211</v>
      </c>
      <c r="BV827" s="2" t="s">
        <v>95</v>
      </c>
      <c r="BW827" s="2" t="s">
        <v>579</v>
      </c>
      <c r="BX827" s="2" t="s">
        <v>2795</v>
      </c>
      <c r="BY827" s="2" t="s">
        <v>111</v>
      </c>
    </row>
    <row r="828">
      <c r="A828" s="2" t="s">
        <v>2796</v>
      </c>
      <c r="B828" s="2" t="s">
        <v>86</v>
      </c>
      <c r="C828" s="2" t="s">
        <v>2604</v>
      </c>
      <c r="D828" s="2" t="s">
        <v>1984</v>
      </c>
      <c r="E828" s="2" t="s">
        <v>2783</v>
      </c>
      <c r="F828" s="2" t="s">
        <v>2784</v>
      </c>
      <c r="G828" s="2" t="s">
        <v>2785</v>
      </c>
      <c r="H828" s="2" t="s">
        <v>2786</v>
      </c>
      <c r="I828" s="2" t="s">
        <v>2787</v>
      </c>
      <c r="J828" s="2" t="s">
        <v>2006</v>
      </c>
      <c r="K828" s="2" t="s">
        <v>458</v>
      </c>
      <c r="L828" s="3">
        <v>20.7</v>
      </c>
      <c r="M828" s="3">
        <v>21.74</v>
      </c>
      <c r="N828" s="3">
        <v>44.99</v>
      </c>
      <c r="O828" s="2" t="s">
        <v>95</v>
      </c>
      <c r="P828" s="2" t="s">
        <v>699</v>
      </c>
      <c r="Q828" s="2" t="s">
        <v>97</v>
      </c>
      <c r="R828" s="2" t="s">
        <v>98</v>
      </c>
      <c r="S828" s="2" t="s">
        <v>2797</v>
      </c>
      <c r="T828" s="2" t="s">
        <v>98</v>
      </c>
      <c r="U828" s="2" t="s">
        <v>100</v>
      </c>
      <c r="V828" s="2" t="s">
        <v>101</v>
      </c>
      <c r="W828" s="2" t="s">
        <v>567</v>
      </c>
      <c r="X828" s="2" t="s">
        <v>98</v>
      </c>
      <c r="Y828" s="2" t="s">
        <v>2789</v>
      </c>
      <c r="Z828" s="4">
        <v>1096</v>
      </c>
      <c r="AA828" s="4">
        <f>=ROUNDDOWN(21.0769230769231,0)</f>
      </c>
      <c r="AB828" s="5">
        <v>52</v>
      </c>
      <c r="AC828" s="2" t="s">
        <v>132</v>
      </c>
      <c r="AD828" s="4">
        <v>719</v>
      </c>
      <c r="AE828" s="4">
        <v>1134</v>
      </c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>
        <v>22</v>
      </c>
      <c r="AQ828" s="8">
        <v>445.5</v>
      </c>
      <c r="AR828" s="4">
        <v>682</v>
      </c>
      <c r="AS828" s="8">
        <v>10652.84</v>
      </c>
      <c r="AT828" s="7">
        <v>-0.9677</v>
      </c>
      <c r="AU828" s="7">
        <v>-0.9582</v>
      </c>
      <c r="AV828" s="4">
        <v>22</v>
      </c>
      <c r="AW828" s="8">
        <v>445.5</v>
      </c>
      <c r="AX828" s="4">
        <v>682</v>
      </c>
      <c r="AY828" s="8">
        <v>10652.84</v>
      </c>
      <c r="AZ828" s="7">
        <v>-0.9677</v>
      </c>
      <c r="BA828" s="7">
        <v>-0.9582</v>
      </c>
      <c r="BB828" s="7">
        <v>1</v>
      </c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>
        <v>0.173</v>
      </c>
      <c r="BJ828" s="4">
        <v>597</v>
      </c>
      <c r="BK828" s="8">
        <v>11720.14</v>
      </c>
      <c r="BL828" s="2" t="s">
        <v>2798</v>
      </c>
      <c r="BM828" s="7">
        <v>0.0369</v>
      </c>
      <c r="BN828" s="7">
        <v>0.038</v>
      </c>
      <c r="BO828" s="4">
        <v>22</v>
      </c>
      <c r="BP828" s="8">
        <v>445.5</v>
      </c>
      <c r="BQ828" s="4">
        <v>682</v>
      </c>
      <c r="BR828" s="8">
        <v>10652.84</v>
      </c>
      <c r="BS828" s="7">
        <v>-0.9677</v>
      </c>
      <c r="BT828" s="7">
        <v>-0.9582</v>
      </c>
      <c r="BU828" s="2" t="s">
        <v>211</v>
      </c>
      <c r="BV828" s="2" t="s">
        <v>95</v>
      </c>
      <c r="BW828" s="2" t="s">
        <v>1834</v>
      </c>
      <c r="BX828" s="2" t="s">
        <v>2799</v>
      </c>
      <c r="BY828" s="2" t="s">
        <v>111</v>
      </c>
    </row>
    <row r="829">
      <c r="A829" s="2" t="s">
        <v>2800</v>
      </c>
      <c r="B829" s="2" t="s">
        <v>86</v>
      </c>
      <c r="C829" s="2" t="s">
        <v>2604</v>
      </c>
      <c r="D829" s="2" t="s">
        <v>1984</v>
      </c>
      <c r="E829" s="2" t="s">
        <v>2783</v>
      </c>
      <c r="F829" s="2" t="s">
        <v>2784</v>
      </c>
      <c r="G829" s="2" t="s">
        <v>2785</v>
      </c>
      <c r="H829" s="2" t="s">
        <v>2786</v>
      </c>
      <c r="I829" s="2" t="s">
        <v>2787</v>
      </c>
      <c r="J829" s="2" t="s">
        <v>2006</v>
      </c>
      <c r="K829" s="2" t="s">
        <v>247</v>
      </c>
      <c r="L829" s="3">
        <v>20.7</v>
      </c>
      <c r="M829" s="3">
        <v>21.74</v>
      </c>
      <c r="N829" s="3">
        <v>44.99</v>
      </c>
      <c r="O829" s="2" t="s">
        <v>95</v>
      </c>
      <c r="P829" s="2" t="s">
        <v>150</v>
      </c>
      <c r="Q829" s="2" t="s">
        <v>97</v>
      </c>
      <c r="R829" s="2" t="s">
        <v>98</v>
      </c>
      <c r="S829" s="2" t="s">
        <v>2788</v>
      </c>
      <c r="T829" s="2" t="s">
        <v>98</v>
      </c>
      <c r="U829" s="2" t="s">
        <v>100</v>
      </c>
      <c r="V829" s="2" t="s">
        <v>101</v>
      </c>
      <c r="W829" s="2" t="s">
        <v>567</v>
      </c>
      <c r="X829" s="2" t="s">
        <v>98</v>
      </c>
      <c r="Y829" s="2" t="s">
        <v>2793</v>
      </c>
      <c r="Z829" s="4"/>
      <c r="AA829" s="4">
        <f>=ROUNDDOWN({0},0)</f>
      </c>
      <c r="AB829" s="5">
        <v>70</v>
      </c>
      <c r="AC829" s="2" t="s">
        <v>264</v>
      </c>
      <c r="AD829" s="4">
        <v>1000</v>
      </c>
      <c r="AE829" s="4">
        <v>2500</v>
      </c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21</v>
      </c>
      <c r="AQ829" s="8">
        <v>434.7</v>
      </c>
      <c r="AR829" s="4">
        <v>103</v>
      </c>
      <c r="AS829" s="8">
        <v>1655.21</v>
      </c>
      <c r="AT829" s="7">
        <v>-0.7961</v>
      </c>
      <c r="AU829" s="7">
        <v>-0.7374</v>
      </c>
      <c r="AV829" s="4">
        <v>21</v>
      </c>
      <c r="AW829" s="8">
        <v>434.7</v>
      </c>
      <c r="AX829" s="4">
        <v>103</v>
      </c>
      <c r="AY829" s="8">
        <v>1655.21</v>
      </c>
      <c r="AZ829" s="7">
        <v>-0.7961</v>
      </c>
      <c r="BA829" s="7">
        <v>-0.7374</v>
      </c>
      <c r="BB829" s="7">
        <v>1</v>
      </c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>
        <v>0.1688</v>
      </c>
      <c r="BJ829" s="4">
        <v>884</v>
      </c>
      <c r="BK829" s="8">
        <v>17747.68</v>
      </c>
      <c r="BL829" s="2" t="s">
        <v>2801</v>
      </c>
      <c r="BM829" s="7">
        <v>0.0238</v>
      </c>
      <c r="BN829" s="7">
        <v>0.0245</v>
      </c>
      <c r="BO829" s="4">
        <v>21</v>
      </c>
      <c r="BP829" s="8">
        <v>434.7</v>
      </c>
      <c r="BQ829" s="4">
        <v>103</v>
      </c>
      <c r="BR829" s="8">
        <v>1655.21</v>
      </c>
      <c r="BS829" s="7">
        <v>-0.7961</v>
      </c>
      <c r="BT829" s="7">
        <v>-0.7374</v>
      </c>
      <c r="BU829" s="2" t="s">
        <v>211</v>
      </c>
      <c r="BV829" s="2" t="s">
        <v>95</v>
      </c>
      <c r="BW829" s="2" t="s">
        <v>579</v>
      </c>
      <c r="BX829" s="2" t="s">
        <v>2491</v>
      </c>
      <c r="BY829" s="2" t="s">
        <v>111</v>
      </c>
    </row>
    <row r="830">
      <c r="A830" s="2" t="s">
        <v>2802</v>
      </c>
      <c r="B830" s="2" t="s">
        <v>86</v>
      </c>
      <c r="C830" s="2" t="s">
        <v>2604</v>
      </c>
      <c r="D830" s="2" t="s">
        <v>1984</v>
      </c>
      <c r="E830" s="2" t="s">
        <v>2783</v>
      </c>
      <c r="F830" s="2" t="s">
        <v>2784</v>
      </c>
      <c r="G830" s="2" t="s">
        <v>2785</v>
      </c>
      <c r="H830" s="2" t="s">
        <v>2786</v>
      </c>
      <c r="I830" s="2" t="s">
        <v>2787</v>
      </c>
      <c r="J830" s="2" t="s">
        <v>2006</v>
      </c>
      <c r="K830" s="2" t="s">
        <v>290</v>
      </c>
      <c r="L830" s="3">
        <v>20.7</v>
      </c>
      <c r="M830" s="3">
        <v>21.74</v>
      </c>
      <c r="N830" s="3">
        <v>44.99</v>
      </c>
      <c r="O830" s="2" t="s">
        <v>95</v>
      </c>
      <c r="P830" s="2" t="s">
        <v>123</v>
      </c>
      <c r="Q830" s="2" t="s">
        <v>97</v>
      </c>
      <c r="R830" s="2" t="s">
        <v>98</v>
      </c>
      <c r="S830" s="2" t="s">
        <v>2792</v>
      </c>
      <c r="T830" s="2" t="s">
        <v>98</v>
      </c>
      <c r="U830" s="2" t="s">
        <v>100</v>
      </c>
      <c r="V830" s="2" t="s">
        <v>101</v>
      </c>
      <c r="W830" s="2" t="s">
        <v>567</v>
      </c>
      <c r="X830" s="2" t="s">
        <v>98</v>
      </c>
      <c r="Y830" s="2" t="s">
        <v>2789</v>
      </c>
      <c r="Z830" s="4">
        <v>1369</v>
      </c>
      <c r="AA830" s="4">
        <f>=ROUNDDOWN(18.7534246575342,0)</f>
      </c>
      <c r="AB830" s="5">
        <v>73</v>
      </c>
      <c r="AC830" s="2" t="s">
        <v>132</v>
      </c>
      <c r="AD830" s="4">
        <v>800</v>
      </c>
      <c r="AE830" s="4">
        <v>1860</v>
      </c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20</v>
      </c>
      <c r="AQ830" s="8">
        <v>406.8</v>
      </c>
      <c r="AR830" s="4">
        <v>564</v>
      </c>
      <c r="AS830" s="8">
        <v>8809.68</v>
      </c>
      <c r="AT830" s="7">
        <v>-0.9645</v>
      </c>
      <c r="AU830" s="7">
        <v>-0.9538</v>
      </c>
      <c r="AV830" s="4">
        <v>20</v>
      </c>
      <c r="AW830" s="8">
        <v>406.8</v>
      </c>
      <c r="AX830" s="4">
        <v>564</v>
      </c>
      <c r="AY830" s="8">
        <v>8809.68</v>
      </c>
      <c r="AZ830" s="7">
        <v>-0.9645</v>
      </c>
      <c r="BA830" s="7">
        <v>-0.9538</v>
      </c>
      <c r="BB830" s="7">
        <v>1</v>
      </c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0.1579</v>
      </c>
      <c r="BJ830" s="4">
        <v>807</v>
      </c>
      <c r="BK830" s="8">
        <v>16381.28</v>
      </c>
      <c r="BL830" s="2" t="s">
        <v>2803</v>
      </c>
      <c r="BM830" s="7">
        <v>0.0248</v>
      </c>
      <c r="BN830" s="7">
        <v>0.0248</v>
      </c>
      <c r="BO830" s="4">
        <v>20</v>
      </c>
      <c r="BP830" s="8">
        <v>406.8</v>
      </c>
      <c r="BQ830" s="4">
        <v>564</v>
      </c>
      <c r="BR830" s="8">
        <v>8809.68</v>
      </c>
      <c r="BS830" s="7">
        <v>-0.9645</v>
      </c>
      <c r="BT830" s="7">
        <v>-0.9538</v>
      </c>
      <c r="BU830" s="2" t="s">
        <v>211</v>
      </c>
      <c r="BV830" s="2" t="s">
        <v>95</v>
      </c>
      <c r="BW830" s="2" t="s">
        <v>1834</v>
      </c>
      <c r="BX830" s="2" t="s">
        <v>2804</v>
      </c>
      <c r="BY830" s="2" t="s">
        <v>111</v>
      </c>
    </row>
    <row r="831">
      <c r="A831" s="2" t="s">
        <v>2805</v>
      </c>
      <c r="B831" s="2" t="s">
        <v>86</v>
      </c>
      <c r="C831" s="2" t="s">
        <v>2604</v>
      </c>
      <c r="D831" s="2" t="s">
        <v>1984</v>
      </c>
      <c r="E831" s="2" t="s">
        <v>2783</v>
      </c>
      <c r="F831" s="2" t="s">
        <v>2784</v>
      </c>
      <c r="G831" s="2" t="s">
        <v>2785</v>
      </c>
      <c r="H831" s="2" t="s">
        <v>2786</v>
      </c>
      <c r="I831" s="2" t="s">
        <v>2787</v>
      </c>
      <c r="J831" s="2" t="s">
        <v>2006</v>
      </c>
      <c r="K831" s="2" t="s">
        <v>551</v>
      </c>
      <c r="L831" s="3">
        <v>20.7</v>
      </c>
      <c r="M831" s="3">
        <v>21.74</v>
      </c>
      <c r="N831" s="3">
        <v>44.99</v>
      </c>
      <c r="O831" s="2" t="s">
        <v>95</v>
      </c>
      <c r="P831" s="2" t="s">
        <v>699</v>
      </c>
      <c r="Q831" s="2" t="s">
        <v>97</v>
      </c>
      <c r="R831" s="2" t="s">
        <v>98</v>
      </c>
      <c r="S831" s="2" t="s">
        <v>2806</v>
      </c>
      <c r="T831" s="2" t="s">
        <v>98</v>
      </c>
      <c r="U831" s="2" t="s">
        <v>100</v>
      </c>
      <c r="V831" s="2" t="s">
        <v>101</v>
      </c>
      <c r="W831" s="2" t="s">
        <v>567</v>
      </c>
      <c r="X831" s="2" t="s">
        <v>98</v>
      </c>
      <c r="Y831" s="2" t="s">
        <v>2789</v>
      </c>
      <c r="Z831" s="4">
        <v>1183</v>
      </c>
      <c r="AA831" s="4">
        <f>=ROUNDDOWN(15.9864864864865,0)</f>
      </c>
      <c r="AB831" s="5">
        <v>74</v>
      </c>
      <c r="AC831" s="2" t="s">
        <v>278</v>
      </c>
      <c r="AD831" s="4">
        <v>517</v>
      </c>
      <c r="AE831" s="4">
        <v>1728</v>
      </c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4</v>
      </c>
      <c r="AQ831" s="8">
        <v>81</v>
      </c>
      <c r="AR831" s="4">
        <v>646</v>
      </c>
      <c r="AS831" s="8">
        <v>10090.52</v>
      </c>
      <c r="AT831" s="7">
        <v>-0.9938</v>
      </c>
      <c r="AU831" s="7">
        <v>-0.992</v>
      </c>
      <c r="AV831" s="4">
        <v>4</v>
      </c>
      <c r="AW831" s="8">
        <v>81</v>
      </c>
      <c r="AX831" s="4">
        <v>646</v>
      </c>
      <c r="AY831" s="8">
        <v>10090.52</v>
      </c>
      <c r="AZ831" s="7">
        <v>-0.9938</v>
      </c>
      <c r="BA831" s="7">
        <v>-0.992</v>
      </c>
      <c r="BB831" s="7">
        <v>1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0.0314</v>
      </c>
      <c r="BJ831" s="4">
        <v>708</v>
      </c>
      <c r="BK831" s="8">
        <v>14910.16</v>
      </c>
      <c r="BL831" s="2" t="s">
        <v>2803</v>
      </c>
      <c r="BM831" s="7">
        <v>0.0056</v>
      </c>
      <c r="BN831" s="7">
        <v>0.0054</v>
      </c>
      <c r="BO831" s="4">
        <v>4</v>
      </c>
      <c r="BP831" s="8">
        <v>81</v>
      </c>
      <c r="BQ831" s="4">
        <v>646</v>
      </c>
      <c r="BR831" s="8">
        <v>10090.52</v>
      </c>
      <c r="BS831" s="7">
        <v>-0.9938</v>
      </c>
      <c r="BT831" s="7">
        <v>-0.992</v>
      </c>
      <c r="BU831" s="2" t="s">
        <v>211</v>
      </c>
      <c r="BV831" s="2" t="s">
        <v>95</v>
      </c>
      <c r="BW831" s="2" t="s">
        <v>1834</v>
      </c>
      <c r="BX831" s="2" t="s">
        <v>2526</v>
      </c>
      <c r="BY831" s="2" t="s">
        <v>111</v>
      </c>
    </row>
    <row r="832">
      <c r="A832" s="2" t="s">
        <v>2807</v>
      </c>
      <c r="B832" s="2" t="s">
        <v>86</v>
      </c>
      <c r="C832" s="2" t="s">
        <v>2604</v>
      </c>
      <c r="D832" s="2" t="s">
        <v>1984</v>
      </c>
      <c r="E832" s="2" t="s">
        <v>2783</v>
      </c>
      <c r="F832" s="2" t="s">
        <v>2784</v>
      </c>
      <c r="G832" s="2" t="s">
        <v>2785</v>
      </c>
      <c r="H832" s="2" t="s">
        <v>2786</v>
      </c>
      <c r="I832" s="2" t="s">
        <v>2787</v>
      </c>
      <c r="J832" s="2" t="s">
        <v>2006</v>
      </c>
      <c r="K832" s="2" t="s">
        <v>455</v>
      </c>
      <c r="L832" s="3">
        <v>20.7</v>
      </c>
      <c r="M832" s="3">
        <v>21.74</v>
      </c>
      <c r="N832" s="3">
        <v>44.99</v>
      </c>
      <c r="O832" s="2" t="s">
        <v>95</v>
      </c>
      <c r="P832" s="2" t="s">
        <v>313</v>
      </c>
      <c r="Q832" s="2" t="s">
        <v>97</v>
      </c>
      <c r="R832" s="2" t="s">
        <v>98</v>
      </c>
      <c r="S832" s="2" t="s">
        <v>2808</v>
      </c>
      <c r="T832" s="2" t="s">
        <v>98</v>
      </c>
      <c r="U832" s="2" t="s">
        <v>100</v>
      </c>
      <c r="V832" s="2" t="s">
        <v>101</v>
      </c>
      <c r="W832" s="2" t="s">
        <v>567</v>
      </c>
      <c r="X832" s="2" t="s">
        <v>98</v>
      </c>
      <c r="Y832" s="2" t="s">
        <v>2809</v>
      </c>
      <c r="Z832" s="4">
        <v>1119</v>
      </c>
      <c r="AA832" s="4">
        <f>=ROUNDDOWN(36.0967741935484,0)</f>
      </c>
      <c r="AB832" s="5">
        <v>31</v>
      </c>
      <c r="AC832" s="2" t="s">
        <v>114</v>
      </c>
      <c r="AD832" s="4">
        <v>1250</v>
      </c>
      <c r="AE832" s="4">
        <v>1250</v>
      </c>
      <c r="AF832" s="6">
        <v>65</v>
      </c>
      <c r="AG832" s="6"/>
      <c r="AH832" s="7">
        <v>0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/>
      <c r="BK832" s="8"/>
      <c r="BL832" s="2" t="s">
        <v>98</v>
      </c>
      <c r="BM832" s="7"/>
      <c r="BN832" s="7"/>
      <c r="BO832" s="4"/>
      <c r="BP832" s="8"/>
      <c r="BQ832" s="4"/>
      <c r="BR832" s="8"/>
      <c r="BS832" s="7"/>
      <c r="BT832" s="7"/>
      <c r="BU832" s="2" t="s">
        <v>2810</v>
      </c>
      <c r="BV832" s="2" t="s">
        <v>95</v>
      </c>
      <c r="BW832" s="2" t="s">
        <v>98</v>
      </c>
      <c r="BX832" s="2" t="s">
        <v>98</v>
      </c>
      <c r="BY832" s="2" t="s">
        <v>111</v>
      </c>
    </row>
    <row r="833">
      <c r="A833" s="2" t="s">
        <v>2811</v>
      </c>
      <c r="B833" s="2" t="s">
        <v>86</v>
      </c>
      <c r="C833" s="2" t="s">
        <v>2604</v>
      </c>
      <c r="D833" s="2" t="s">
        <v>1984</v>
      </c>
      <c r="E833" s="2" t="s">
        <v>2783</v>
      </c>
      <c r="F833" s="2" t="s">
        <v>2812</v>
      </c>
      <c r="G833" s="2" t="s">
        <v>2813</v>
      </c>
      <c r="H833" s="2" t="s">
        <v>2814</v>
      </c>
      <c r="I833" s="2" t="s">
        <v>2815</v>
      </c>
      <c r="J833" s="2" t="s">
        <v>2816</v>
      </c>
      <c r="K833" s="2" t="s">
        <v>551</v>
      </c>
      <c r="L833" s="3">
        <v>43.13</v>
      </c>
      <c r="M833" s="3">
        <v>45.29</v>
      </c>
      <c r="N833" s="3">
        <v>89.99</v>
      </c>
      <c r="O833" s="2" t="s">
        <v>95</v>
      </c>
      <c r="P833" s="2" t="s">
        <v>129</v>
      </c>
      <c r="Q833" s="2" t="s">
        <v>97</v>
      </c>
      <c r="R833" s="2" t="s">
        <v>98</v>
      </c>
      <c r="S833" s="2" t="s">
        <v>2817</v>
      </c>
      <c r="T833" s="2" t="s">
        <v>98</v>
      </c>
      <c r="U833" s="2" t="s">
        <v>100</v>
      </c>
      <c r="V833" s="2" t="s">
        <v>101</v>
      </c>
      <c r="W833" s="2" t="s">
        <v>567</v>
      </c>
      <c r="X833" s="2" t="s">
        <v>98</v>
      </c>
      <c r="Y833" s="2" t="s">
        <v>2789</v>
      </c>
      <c r="Z833" s="4">
        <v>355</v>
      </c>
      <c r="AA833" s="4">
        <f>=ROUNDDOWN(12.6785714285714,0)</f>
      </c>
      <c r="AB833" s="5">
        <v>28</v>
      </c>
      <c r="AC833" s="2" t="s">
        <v>278</v>
      </c>
      <c r="AD833" s="4">
        <v>171</v>
      </c>
      <c r="AE833" s="4">
        <v>611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286</v>
      </c>
      <c r="BK833" s="8">
        <v>13037.37</v>
      </c>
      <c r="BL833" s="2" t="s">
        <v>2818</v>
      </c>
      <c r="BM833" s="7"/>
      <c r="BN833" s="7"/>
      <c r="BO833" s="4"/>
      <c r="BP833" s="8"/>
      <c r="BQ833" s="4"/>
      <c r="BR833" s="8"/>
      <c r="BS833" s="7"/>
      <c r="BT833" s="7"/>
      <c r="BU833" s="2" t="s">
        <v>211</v>
      </c>
      <c r="BV833" s="2" t="s">
        <v>95</v>
      </c>
      <c r="BW833" s="2" t="s">
        <v>1834</v>
      </c>
      <c r="BX833" s="2" t="s">
        <v>911</v>
      </c>
      <c r="BY833" s="2" t="s">
        <v>111</v>
      </c>
    </row>
    <row r="834">
      <c r="A834" s="2" t="s">
        <v>2819</v>
      </c>
      <c r="B834" s="2" t="s">
        <v>86</v>
      </c>
      <c r="C834" s="2" t="s">
        <v>2604</v>
      </c>
      <c r="D834" s="2" t="s">
        <v>1984</v>
      </c>
      <c r="E834" s="2" t="s">
        <v>2783</v>
      </c>
      <c r="F834" s="2" t="s">
        <v>2812</v>
      </c>
      <c r="G834" s="2" t="s">
        <v>2813</v>
      </c>
      <c r="H834" s="2" t="s">
        <v>2814</v>
      </c>
      <c r="I834" s="2" t="s">
        <v>2815</v>
      </c>
      <c r="J834" s="2" t="s">
        <v>2816</v>
      </c>
      <c r="K834" s="2" t="s">
        <v>290</v>
      </c>
      <c r="L834" s="3">
        <v>43.13</v>
      </c>
      <c r="M834" s="3">
        <v>45.29</v>
      </c>
      <c r="N834" s="3">
        <v>89.99</v>
      </c>
      <c r="O834" s="2" t="s">
        <v>95</v>
      </c>
      <c r="P834" s="2" t="s">
        <v>150</v>
      </c>
      <c r="Q834" s="2" t="s">
        <v>97</v>
      </c>
      <c r="R834" s="2" t="s">
        <v>98</v>
      </c>
      <c r="S834" s="2" t="s">
        <v>2820</v>
      </c>
      <c r="T834" s="2" t="s">
        <v>98</v>
      </c>
      <c r="U834" s="2" t="s">
        <v>100</v>
      </c>
      <c r="V834" s="2" t="s">
        <v>101</v>
      </c>
      <c r="W834" s="2" t="s">
        <v>567</v>
      </c>
      <c r="X834" s="2" t="s">
        <v>98</v>
      </c>
      <c r="Y834" s="2" t="s">
        <v>2789</v>
      </c>
      <c r="Z834" s="4">
        <v>233</v>
      </c>
      <c r="AA834" s="4">
        <f>=ROUNDDOWN(11.0952380952381,0)</f>
      </c>
      <c r="AB834" s="5">
        <v>21</v>
      </c>
      <c r="AC834" s="2" t="s">
        <v>132</v>
      </c>
      <c r="AD834" s="4">
        <v>200</v>
      </c>
      <c r="AE834" s="4">
        <v>600</v>
      </c>
      <c r="AF834" s="6">
        <v>65</v>
      </c>
      <c r="AG834" s="6"/>
      <c r="AH834" s="7">
        <v>0.4889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216</v>
      </c>
      <c r="BK834" s="8">
        <v>10345.84</v>
      </c>
      <c r="BL834" s="2" t="s">
        <v>2821</v>
      </c>
      <c r="BM834" s="7"/>
      <c r="BN834" s="7"/>
      <c r="BO834" s="4"/>
      <c r="BP834" s="8"/>
      <c r="BQ834" s="4"/>
      <c r="BR834" s="8"/>
      <c r="BS834" s="7"/>
      <c r="BT834" s="7"/>
      <c r="BU834" s="2" t="s">
        <v>211</v>
      </c>
      <c r="BV834" s="2" t="s">
        <v>95</v>
      </c>
      <c r="BW834" s="2" t="s">
        <v>1834</v>
      </c>
      <c r="BX834" s="2" t="s">
        <v>2822</v>
      </c>
      <c r="BY834" s="2" t="s">
        <v>111</v>
      </c>
    </row>
    <row r="835">
      <c r="A835" s="2" t="s">
        <v>2823</v>
      </c>
      <c r="B835" s="2" t="s">
        <v>86</v>
      </c>
      <c r="C835" s="2" t="s">
        <v>2604</v>
      </c>
      <c r="D835" s="2" t="s">
        <v>1984</v>
      </c>
      <c r="E835" s="2" t="s">
        <v>2783</v>
      </c>
      <c r="F835" s="2" t="s">
        <v>2812</v>
      </c>
      <c r="G835" s="2" t="s">
        <v>2813</v>
      </c>
      <c r="H835" s="2" t="s">
        <v>2814</v>
      </c>
      <c r="I835" s="2" t="s">
        <v>2815</v>
      </c>
      <c r="J835" s="2" t="s">
        <v>2816</v>
      </c>
      <c r="K835" s="2" t="s">
        <v>458</v>
      </c>
      <c r="L835" s="3">
        <v>43.13</v>
      </c>
      <c r="M835" s="3">
        <v>45.29</v>
      </c>
      <c r="N835" s="3">
        <v>89.99</v>
      </c>
      <c r="O835" s="2" t="s">
        <v>95</v>
      </c>
      <c r="P835" s="2" t="s">
        <v>150</v>
      </c>
      <c r="Q835" s="2" t="s">
        <v>97</v>
      </c>
      <c r="R835" s="2" t="s">
        <v>98</v>
      </c>
      <c r="S835" s="2" t="s">
        <v>2824</v>
      </c>
      <c r="T835" s="2" t="s">
        <v>98</v>
      </c>
      <c r="U835" s="2" t="s">
        <v>100</v>
      </c>
      <c r="V835" s="2" t="s">
        <v>101</v>
      </c>
      <c r="W835" s="2" t="s">
        <v>567</v>
      </c>
      <c r="X835" s="2" t="s">
        <v>98</v>
      </c>
      <c r="Y835" s="2" t="s">
        <v>2825</v>
      </c>
      <c r="Z835" s="4">
        <v>143</v>
      </c>
      <c r="AA835" s="4">
        <f>=ROUNDDOWN(6.80952380952381,0)</f>
      </c>
      <c r="AB835" s="5">
        <v>21</v>
      </c>
      <c r="AC835" s="2" t="s">
        <v>132</v>
      </c>
      <c r="AD835" s="4">
        <v>539</v>
      </c>
      <c r="AE835" s="4">
        <v>689</v>
      </c>
      <c r="AF835" s="6">
        <v>65</v>
      </c>
      <c r="AG835" s="6"/>
      <c r="AH835" s="7">
        <v>0.7444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169</v>
      </c>
      <c r="BK835" s="8">
        <v>7926.15</v>
      </c>
      <c r="BL835" s="2" t="s">
        <v>2826</v>
      </c>
      <c r="BM835" s="7"/>
      <c r="BN835" s="7"/>
      <c r="BO835" s="4"/>
      <c r="BP835" s="8"/>
      <c r="BQ835" s="4"/>
      <c r="BR835" s="8"/>
      <c r="BS835" s="7"/>
      <c r="BT835" s="7"/>
      <c r="BU835" s="2" t="s">
        <v>211</v>
      </c>
      <c r="BV835" s="2" t="s">
        <v>95</v>
      </c>
      <c r="BW835" s="2" t="s">
        <v>546</v>
      </c>
      <c r="BX835" s="2" t="s">
        <v>1004</v>
      </c>
      <c r="BY835" s="2" t="s">
        <v>111</v>
      </c>
    </row>
    <row r="836">
      <c r="A836" s="2" t="s">
        <v>2827</v>
      </c>
      <c r="B836" s="2" t="s">
        <v>86</v>
      </c>
      <c r="C836" s="2" t="s">
        <v>2604</v>
      </c>
      <c r="D836" s="2" t="s">
        <v>1984</v>
      </c>
      <c r="E836" s="2" t="s">
        <v>2783</v>
      </c>
      <c r="F836" s="2" t="s">
        <v>2812</v>
      </c>
      <c r="G836" s="2" t="s">
        <v>2813</v>
      </c>
      <c r="H836" s="2" t="s">
        <v>2814</v>
      </c>
      <c r="I836" s="2" t="s">
        <v>2815</v>
      </c>
      <c r="J836" s="2" t="s">
        <v>2816</v>
      </c>
      <c r="K836" s="2" t="s">
        <v>400</v>
      </c>
      <c r="L836" s="3">
        <v>43.13</v>
      </c>
      <c r="M836" s="3">
        <v>45.29</v>
      </c>
      <c r="N836" s="3">
        <v>89.99</v>
      </c>
      <c r="O836" s="2" t="s">
        <v>95</v>
      </c>
      <c r="P836" s="2" t="s">
        <v>150</v>
      </c>
      <c r="Q836" s="2" t="s">
        <v>97</v>
      </c>
      <c r="R836" s="2" t="s">
        <v>98</v>
      </c>
      <c r="S836" s="2" t="s">
        <v>2824</v>
      </c>
      <c r="T836" s="2" t="s">
        <v>98</v>
      </c>
      <c r="U836" s="2" t="s">
        <v>100</v>
      </c>
      <c r="V836" s="2" t="s">
        <v>101</v>
      </c>
      <c r="W836" s="2" t="s">
        <v>567</v>
      </c>
      <c r="X836" s="2" t="s">
        <v>98</v>
      </c>
      <c r="Y836" s="2" t="s">
        <v>2825</v>
      </c>
      <c r="Z836" s="4">
        <v>139</v>
      </c>
      <c r="AA836" s="4">
        <f>=ROUNDDOWN(5.14814814814815,0)</f>
      </c>
      <c r="AB836" s="5">
        <v>27</v>
      </c>
      <c r="AC836" s="2" t="s">
        <v>179</v>
      </c>
      <c r="AD836" s="4">
        <v>200</v>
      </c>
      <c r="AE836" s="4">
        <v>756</v>
      </c>
      <c r="AF836" s="6">
        <v>65</v>
      </c>
      <c r="AG836" s="6"/>
      <c r="AH836" s="7">
        <v>0.7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219</v>
      </c>
      <c r="BK836" s="8">
        <v>10079.19</v>
      </c>
      <c r="BL836" s="2" t="s">
        <v>2828</v>
      </c>
      <c r="BM836" s="7"/>
      <c r="BN836" s="7"/>
      <c r="BO836" s="4"/>
      <c r="BP836" s="8"/>
      <c r="BQ836" s="4"/>
      <c r="BR836" s="8"/>
      <c r="BS836" s="7"/>
      <c r="BT836" s="7"/>
      <c r="BU836" s="2" t="s">
        <v>211</v>
      </c>
      <c r="BV836" s="2" t="s">
        <v>95</v>
      </c>
      <c r="BW836" s="2" t="s">
        <v>546</v>
      </c>
      <c r="BX836" s="2" t="s">
        <v>1004</v>
      </c>
      <c r="BY836" s="2" t="s">
        <v>111</v>
      </c>
    </row>
    <row r="837">
      <c r="A837" s="2" t="s">
        <v>2829</v>
      </c>
      <c r="B837" s="2" t="s">
        <v>86</v>
      </c>
      <c r="C837" s="2" t="s">
        <v>2604</v>
      </c>
      <c r="D837" s="2" t="s">
        <v>1984</v>
      </c>
      <c r="E837" s="2" t="s">
        <v>2830</v>
      </c>
      <c r="F837" s="2" t="s">
        <v>2831</v>
      </c>
      <c r="G837" s="2" t="s">
        <v>2832</v>
      </c>
      <c r="H837" s="2" t="s">
        <v>2833</v>
      </c>
      <c r="I837" s="2" t="s">
        <v>2834</v>
      </c>
      <c r="J837" s="2" t="s">
        <v>2835</v>
      </c>
      <c r="K837" s="2" t="s">
        <v>400</v>
      </c>
      <c r="L837" s="3">
        <v>18.25</v>
      </c>
      <c r="M837" s="3">
        <v>19.16</v>
      </c>
      <c r="N837" s="3">
        <v>39.99</v>
      </c>
      <c r="O837" s="2" t="s">
        <v>95</v>
      </c>
      <c r="P837" s="2" t="s">
        <v>150</v>
      </c>
      <c r="Q837" s="2" t="s">
        <v>97</v>
      </c>
      <c r="R837" s="2" t="s">
        <v>98</v>
      </c>
      <c r="S837" s="2" t="s">
        <v>2788</v>
      </c>
      <c r="T837" s="2" t="s">
        <v>98</v>
      </c>
      <c r="U837" s="2" t="s">
        <v>100</v>
      </c>
      <c r="V837" s="2" t="s">
        <v>101</v>
      </c>
      <c r="W837" s="2" t="s">
        <v>567</v>
      </c>
      <c r="X837" s="2" t="s">
        <v>98</v>
      </c>
      <c r="Y837" s="2" t="s">
        <v>2836</v>
      </c>
      <c r="Z837" s="4">
        <v>177</v>
      </c>
      <c r="AA837" s="4">
        <f>=ROUNDDOWN(9.83333333333333,0)</f>
      </c>
      <c r="AB837" s="5">
        <v>18</v>
      </c>
      <c r="AC837" s="2" t="s">
        <v>388</v>
      </c>
      <c r="AD837" s="4">
        <v>100</v>
      </c>
      <c r="AE837" s="4">
        <v>100</v>
      </c>
      <c r="AF837" s="6">
        <v>65</v>
      </c>
      <c r="AG837" s="6"/>
      <c r="AH837" s="7">
        <v>0.3333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>
        <v>22</v>
      </c>
      <c r="AQ837" s="8">
        <v>442.64</v>
      </c>
      <c r="AR837" s="4"/>
      <c r="AS837" s="8"/>
      <c r="AT837" s="7"/>
      <c r="AU837" s="7"/>
      <c r="AV837" s="4">
        <v>22</v>
      </c>
      <c r="AW837" s="8">
        <v>442.64</v>
      </c>
      <c r="AX837" s="4"/>
      <c r="AY837" s="8"/>
      <c r="AZ837" s="7"/>
      <c r="BA837" s="7"/>
      <c r="BB837" s="7">
        <v>1</v>
      </c>
      <c r="BC837" s="4">
        <v>38</v>
      </c>
      <c r="BD837" s="8">
        <v>764.56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>
        <v>0.5789</v>
      </c>
      <c r="BJ837" s="4">
        <v>108</v>
      </c>
      <c r="BK837" s="8">
        <v>2188.24</v>
      </c>
      <c r="BL837" s="2" t="s">
        <v>2043</v>
      </c>
      <c r="BM837" s="7">
        <v>0.2037</v>
      </c>
      <c r="BN837" s="7">
        <v>0.2023</v>
      </c>
      <c r="BO837" s="4">
        <v>22</v>
      </c>
      <c r="BP837" s="8">
        <v>442.64</v>
      </c>
      <c r="BQ837" s="4"/>
      <c r="BR837" s="8"/>
      <c r="BS837" s="7"/>
      <c r="BT837" s="7"/>
      <c r="BU837" s="2" t="s">
        <v>211</v>
      </c>
      <c r="BV837" s="2" t="s">
        <v>95</v>
      </c>
      <c r="BW837" s="2" t="s">
        <v>2742</v>
      </c>
      <c r="BX837" s="2" t="s">
        <v>1580</v>
      </c>
      <c r="BY837" s="2" t="s">
        <v>111</v>
      </c>
    </row>
    <row r="838">
      <c r="A838" s="2" t="s">
        <v>2837</v>
      </c>
      <c r="B838" s="2" t="s">
        <v>86</v>
      </c>
      <c r="C838" s="2" t="s">
        <v>2604</v>
      </c>
      <c r="D838" s="2" t="s">
        <v>1984</v>
      </c>
      <c r="E838" s="2" t="s">
        <v>2830</v>
      </c>
      <c r="F838" s="2" t="s">
        <v>2831</v>
      </c>
      <c r="G838" s="2" t="s">
        <v>2832</v>
      </c>
      <c r="H838" s="2" t="s">
        <v>2833</v>
      </c>
      <c r="I838" s="2" t="s">
        <v>2834</v>
      </c>
      <c r="J838" s="2" t="s">
        <v>2835</v>
      </c>
      <c r="K838" s="2" t="s">
        <v>290</v>
      </c>
      <c r="L838" s="3">
        <v>18.25</v>
      </c>
      <c r="M838" s="3">
        <v>19.16</v>
      </c>
      <c r="N838" s="3">
        <v>39.99</v>
      </c>
      <c r="O838" s="2" t="s">
        <v>95</v>
      </c>
      <c r="P838" s="2" t="s">
        <v>150</v>
      </c>
      <c r="Q838" s="2" t="s">
        <v>97</v>
      </c>
      <c r="R838" s="2" t="s">
        <v>98</v>
      </c>
      <c r="S838" s="2" t="s">
        <v>2792</v>
      </c>
      <c r="T838" s="2" t="s">
        <v>98</v>
      </c>
      <c r="U838" s="2" t="s">
        <v>100</v>
      </c>
      <c r="V838" s="2" t="s">
        <v>101</v>
      </c>
      <c r="W838" s="2" t="s">
        <v>567</v>
      </c>
      <c r="X838" s="2" t="s">
        <v>98</v>
      </c>
      <c r="Y838" s="2" t="s">
        <v>2836</v>
      </c>
      <c r="Z838" s="4">
        <v>72</v>
      </c>
      <c r="AA838" s="4">
        <f>=ROUNDDOWN(6,0)</f>
      </c>
      <c r="AB838" s="5">
        <v>12</v>
      </c>
      <c r="AC838" s="2" t="s">
        <v>388</v>
      </c>
      <c r="AD838" s="4">
        <v>140</v>
      </c>
      <c r="AE838" s="4">
        <v>140</v>
      </c>
      <c r="AF838" s="6">
        <v>65</v>
      </c>
      <c r="AG838" s="6"/>
      <c r="AH838" s="7">
        <v>0.3333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16</v>
      </c>
      <c r="AQ838" s="8">
        <v>321.92</v>
      </c>
      <c r="AR838" s="4"/>
      <c r="AS838" s="8"/>
      <c r="AT838" s="7"/>
      <c r="AU838" s="7"/>
      <c r="AV838" s="4">
        <v>16</v>
      </c>
      <c r="AW838" s="8">
        <v>321.92</v>
      </c>
      <c r="AX838" s="4"/>
      <c r="AY838" s="8"/>
      <c r="AZ838" s="7"/>
      <c r="BA838" s="7"/>
      <c r="BB838" s="7">
        <v>1</v>
      </c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>
        <v>0.4211</v>
      </c>
      <c r="BJ838" s="4">
        <v>48</v>
      </c>
      <c r="BK838" s="8">
        <v>971.56</v>
      </c>
      <c r="BL838" s="2" t="s">
        <v>2411</v>
      </c>
      <c r="BM838" s="7">
        <v>0.3333</v>
      </c>
      <c r="BN838" s="7">
        <v>0.3313</v>
      </c>
      <c r="BO838" s="4">
        <v>16</v>
      </c>
      <c r="BP838" s="8">
        <v>321.92</v>
      </c>
      <c r="BQ838" s="4"/>
      <c r="BR838" s="8"/>
      <c r="BS838" s="7"/>
      <c r="BT838" s="7"/>
      <c r="BU838" s="2" t="s">
        <v>211</v>
      </c>
      <c r="BV838" s="2" t="s">
        <v>95</v>
      </c>
      <c r="BW838" s="2" t="s">
        <v>2742</v>
      </c>
      <c r="BX838" s="2" t="s">
        <v>1151</v>
      </c>
      <c r="BY838" s="2" t="s">
        <v>111</v>
      </c>
    </row>
    <row r="839">
      <c r="A839" s="2" t="s">
        <v>2838</v>
      </c>
      <c r="B839" s="2" t="s">
        <v>86</v>
      </c>
      <c r="C839" s="2" t="s">
        <v>2604</v>
      </c>
      <c r="D839" s="2" t="s">
        <v>1984</v>
      </c>
      <c r="E839" s="2" t="s">
        <v>2830</v>
      </c>
      <c r="F839" s="2" t="s">
        <v>2831</v>
      </c>
      <c r="G839" s="2" t="s">
        <v>2832</v>
      </c>
      <c r="H839" s="2" t="s">
        <v>2833</v>
      </c>
      <c r="I839" s="2" t="s">
        <v>2834</v>
      </c>
      <c r="J839" s="2" t="s">
        <v>2835</v>
      </c>
      <c r="K839" s="2" t="s">
        <v>551</v>
      </c>
      <c r="L839" s="3">
        <v>18.25</v>
      </c>
      <c r="M839" s="3">
        <v>19.16</v>
      </c>
      <c r="N839" s="3">
        <v>39.99</v>
      </c>
      <c r="O839" s="2" t="s">
        <v>95</v>
      </c>
      <c r="P839" s="2" t="s">
        <v>150</v>
      </c>
      <c r="Q839" s="2" t="s">
        <v>97</v>
      </c>
      <c r="R839" s="2" t="s">
        <v>98</v>
      </c>
      <c r="S839" s="2" t="s">
        <v>2806</v>
      </c>
      <c r="T839" s="2" t="s">
        <v>98</v>
      </c>
      <c r="U839" s="2" t="s">
        <v>100</v>
      </c>
      <c r="V839" s="2" t="s">
        <v>101</v>
      </c>
      <c r="W839" s="2" t="s">
        <v>567</v>
      </c>
      <c r="X839" s="2" t="s">
        <v>98</v>
      </c>
      <c r="Y839" s="2" t="s">
        <v>2836</v>
      </c>
      <c r="Z839" s="4">
        <v>100</v>
      </c>
      <c r="AA839" s="4">
        <f>=ROUNDDOWN(8.33333333333333,0)</f>
      </c>
      <c r="AB839" s="5">
        <v>12</v>
      </c>
      <c r="AC839" s="2" t="s">
        <v>278</v>
      </c>
      <c r="AD839" s="4">
        <v>70</v>
      </c>
      <c r="AE839" s="4">
        <v>138</v>
      </c>
      <c r="AF839" s="6">
        <v>65</v>
      </c>
      <c r="AG839" s="6"/>
      <c r="AH839" s="7">
        <v>0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/>
      <c r="BK839" s="8"/>
      <c r="BL839" s="2" t="s">
        <v>98</v>
      </c>
      <c r="BM839" s="7"/>
      <c r="BN839" s="7"/>
      <c r="BO839" s="4"/>
      <c r="BP839" s="8"/>
      <c r="BQ839" s="4"/>
      <c r="BR839" s="8"/>
      <c r="BS839" s="7"/>
      <c r="BT839" s="7"/>
      <c r="BU839" s="2" t="s">
        <v>211</v>
      </c>
      <c r="BV839" s="2" t="s">
        <v>95</v>
      </c>
      <c r="BW839" s="2" t="s">
        <v>2742</v>
      </c>
      <c r="BX839" s="2" t="s">
        <v>2744</v>
      </c>
      <c r="BY839" s="2" t="s">
        <v>111</v>
      </c>
    </row>
    <row r="840">
      <c r="A840" s="2" t="s">
        <v>2839</v>
      </c>
      <c r="B840" s="2" t="s">
        <v>86</v>
      </c>
      <c r="C840" s="2" t="s">
        <v>2604</v>
      </c>
      <c r="D840" s="2" t="s">
        <v>1984</v>
      </c>
      <c r="E840" s="2" t="s">
        <v>2830</v>
      </c>
      <c r="F840" s="2" t="s">
        <v>2831</v>
      </c>
      <c r="G840" s="2" t="s">
        <v>2832</v>
      </c>
      <c r="H840" s="2" t="s">
        <v>2833</v>
      </c>
      <c r="I840" s="2" t="s">
        <v>2834</v>
      </c>
      <c r="J840" s="2" t="s">
        <v>2835</v>
      </c>
      <c r="K840" s="2" t="s">
        <v>458</v>
      </c>
      <c r="L840" s="3">
        <v>18.25</v>
      </c>
      <c r="M840" s="3">
        <v>19.16</v>
      </c>
      <c r="N840" s="3">
        <v>39.99</v>
      </c>
      <c r="O840" s="2" t="s">
        <v>95</v>
      </c>
      <c r="P840" s="2" t="s">
        <v>150</v>
      </c>
      <c r="Q840" s="2" t="s">
        <v>97</v>
      </c>
      <c r="R840" s="2" t="s">
        <v>98</v>
      </c>
      <c r="S840" s="2" t="s">
        <v>2797</v>
      </c>
      <c r="T840" s="2" t="s">
        <v>98</v>
      </c>
      <c r="U840" s="2" t="s">
        <v>100</v>
      </c>
      <c r="V840" s="2" t="s">
        <v>101</v>
      </c>
      <c r="W840" s="2" t="s">
        <v>567</v>
      </c>
      <c r="X840" s="2" t="s">
        <v>98</v>
      </c>
      <c r="Y840" s="2" t="s">
        <v>2836</v>
      </c>
      <c r="Z840" s="4">
        <v>171</v>
      </c>
      <c r="AA840" s="4">
        <f>=ROUNDDOWN(14.25,0)</f>
      </c>
      <c r="AB840" s="5">
        <v>12</v>
      </c>
      <c r="AC840" s="2" t="s">
        <v>309</v>
      </c>
      <c r="AD840" s="4">
        <v>200</v>
      </c>
      <c r="AE840" s="4">
        <v>425</v>
      </c>
      <c r="AF840" s="6">
        <v>65</v>
      </c>
      <c r="AG840" s="6"/>
      <c r="AH840" s="7">
        <v>0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>
        <v>2</v>
      </c>
      <c r="BK840" s="8">
        <v>40.16</v>
      </c>
      <c r="BL840" s="2" t="s">
        <v>2840</v>
      </c>
      <c r="BM840" s="7"/>
      <c r="BN840" s="7"/>
      <c r="BO840" s="4"/>
      <c r="BP840" s="8"/>
      <c r="BQ840" s="4"/>
      <c r="BR840" s="8"/>
      <c r="BS840" s="7"/>
      <c r="BT840" s="7"/>
      <c r="BU840" s="2" t="s">
        <v>211</v>
      </c>
      <c r="BV840" s="2" t="s">
        <v>95</v>
      </c>
      <c r="BW840" s="2" t="s">
        <v>2742</v>
      </c>
      <c r="BX840" s="2" t="s">
        <v>2841</v>
      </c>
      <c r="BY840" s="2" t="s">
        <v>111</v>
      </c>
    </row>
    <row r="841">
      <c r="A841" s="2" t="s">
        <v>2842</v>
      </c>
      <c r="B841" s="2" t="s">
        <v>86</v>
      </c>
      <c r="C841" s="2" t="s">
        <v>2843</v>
      </c>
      <c r="D841" s="2" t="s">
        <v>88</v>
      </c>
      <c r="E841" s="2" t="s">
        <v>88</v>
      </c>
      <c r="F841" s="2" t="s">
        <v>2844</v>
      </c>
      <c r="G841" s="2" t="s">
        <v>2844</v>
      </c>
      <c r="H841" s="2" t="s">
        <v>2844</v>
      </c>
      <c r="I841" s="2" t="s">
        <v>2845</v>
      </c>
      <c r="J841" s="2" t="s">
        <v>93</v>
      </c>
      <c r="K841" s="2" t="s">
        <v>400</v>
      </c>
      <c r="L841" s="3">
        <v>24.75</v>
      </c>
      <c r="M841" s="3">
        <v>25.99</v>
      </c>
      <c r="N841" s="3">
        <v>59.99</v>
      </c>
      <c r="O841" s="2" t="s">
        <v>95</v>
      </c>
      <c r="P841" s="2" t="s">
        <v>96</v>
      </c>
      <c r="Q841" s="2" t="s">
        <v>97</v>
      </c>
      <c r="R841" s="2" t="s">
        <v>98</v>
      </c>
      <c r="S841" s="2" t="s">
        <v>2846</v>
      </c>
      <c r="T841" s="2" t="s">
        <v>1672</v>
      </c>
      <c r="U841" s="2" t="s">
        <v>100</v>
      </c>
      <c r="V841" s="2" t="s">
        <v>617</v>
      </c>
      <c r="W841" s="2" t="s">
        <v>2023</v>
      </c>
      <c r="X841" s="2" t="s">
        <v>372</v>
      </c>
      <c r="Y841" s="2" t="s">
        <v>1484</v>
      </c>
      <c r="Z841" s="4">
        <v>738</v>
      </c>
      <c r="AA841" s="4">
        <f>=ROUNDDOWN(1.13538461538462,0)</f>
      </c>
      <c r="AB841" s="5">
        <v>650</v>
      </c>
      <c r="AC841" s="2" t="s">
        <v>2847</v>
      </c>
      <c r="AD841" s="4">
        <v>800</v>
      </c>
      <c r="AE841" s="4">
        <v>13812</v>
      </c>
      <c r="AF841" s="6">
        <v>73</v>
      </c>
      <c r="AG841" s="6">
        <v>81</v>
      </c>
      <c r="AH841" s="7">
        <v>0.7444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130</v>
      </c>
      <c r="AQ841" s="8">
        <v>3831.1</v>
      </c>
      <c r="AR841" s="4"/>
      <c r="AS841" s="8"/>
      <c r="AT841" s="7"/>
      <c r="AU841" s="7"/>
      <c r="AV841" s="4">
        <v>130</v>
      </c>
      <c r="AW841" s="8">
        <v>3831.1</v>
      </c>
      <c r="AX841" s="4" t="s">
        <v>98</v>
      </c>
      <c r="AY841" s="8" t="s">
        <v>98</v>
      </c>
      <c r="AZ841" s="7" t="s">
        <v>98</v>
      </c>
      <c r="BA841" s="7" t="s">
        <v>98</v>
      </c>
      <c r="BB841" s="7">
        <v>1</v>
      </c>
      <c r="BC841" s="4">
        <v>227</v>
      </c>
      <c r="BD841" s="8">
        <v>6689.69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>
        <v>0.5727</v>
      </c>
      <c r="BJ841" s="4">
        <v>4560</v>
      </c>
      <c r="BK841" s="8">
        <v>126102.5</v>
      </c>
      <c r="BL841" s="2" t="s">
        <v>904</v>
      </c>
      <c r="BM841" s="7">
        <v>0.0285</v>
      </c>
      <c r="BN841" s="7">
        <v>0.0304</v>
      </c>
      <c r="BO841" s="4">
        <v>130</v>
      </c>
      <c r="BP841" s="8">
        <v>3831.1</v>
      </c>
      <c r="BQ841" s="4"/>
      <c r="BR841" s="8"/>
      <c r="BS841" s="7"/>
      <c r="BT841" s="7"/>
      <c r="BU841" s="2" t="s">
        <v>107</v>
      </c>
      <c r="BV841" s="2" t="s">
        <v>108</v>
      </c>
      <c r="BW841" s="2" t="s">
        <v>1633</v>
      </c>
      <c r="BX841" s="2" t="s">
        <v>981</v>
      </c>
      <c r="BY841" s="2" t="s">
        <v>111</v>
      </c>
    </row>
    <row r="842">
      <c r="A842" s="2" t="s">
        <v>2848</v>
      </c>
      <c r="B842" s="2" t="s">
        <v>86</v>
      </c>
      <c r="C842" s="2" t="s">
        <v>2843</v>
      </c>
      <c r="D842" s="2" t="s">
        <v>88</v>
      </c>
      <c r="E842" s="2" t="s">
        <v>88</v>
      </c>
      <c r="F842" s="2" t="s">
        <v>2844</v>
      </c>
      <c r="G842" s="2" t="s">
        <v>2844</v>
      </c>
      <c r="H842" s="2" t="s">
        <v>2844</v>
      </c>
      <c r="I842" s="2" t="s">
        <v>2845</v>
      </c>
      <c r="J842" s="2" t="s">
        <v>113</v>
      </c>
      <c r="K842" s="2" t="s">
        <v>400</v>
      </c>
      <c r="L842" s="3">
        <v>28</v>
      </c>
      <c r="M842" s="3">
        <v>29.4</v>
      </c>
      <c r="N842" s="3">
        <v>64.99</v>
      </c>
      <c r="O842" s="2" t="s">
        <v>95</v>
      </c>
      <c r="P842" s="2" t="s">
        <v>150</v>
      </c>
      <c r="Q842" s="2" t="s">
        <v>97</v>
      </c>
      <c r="R842" s="2" t="s">
        <v>98</v>
      </c>
      <c r="S842" s="2" t="s">
        <v>2846</v>
      </c>
      <c r="T842" s="2" t="s">
        <v>1672</v>
      </c>
      <c r="U842" s="2" t="s">
        <v>100</v>
      </c>
      <c r="V842" s="2" t="s">
        <v>617</v>
      </c>
      <c r="W842" s="2" t="s">
        <v>2023</v>
      </c>
      <c r="X842" s="2" t="s">
        <v>372</v>
      </c>
      <c r="Y842" s="2" t="s">
        <v>1725</v>
      </c>
      <c r="Z842" s="4">
        <v>454</v>
      </c>
      <c r="AA842" s="4">
        <f>=ROUNDDOWN(2.41489361702128,0)</f>
      </c>
      <c r="AB842" s="5">
        <v>188</v>
      </c>
      <c r="AC842" s="2" t="s">
        <v>373</v>
      </c>
      <c r="AD842" s="4">
        <v>1488</v>
      </c>
      <c r="AE842" s="4">
        <v>6956</v>
      </c>
      <c r="AF842" s="6">
        <v>73</v>
      </c>
      <c r="AG842" s="6"/>
      <c r="AH842" s="7">
        <v>0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98</v>
      </c>
      <c r="AW842" s="8" t="s">
        <v>98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 t="s">
        <v>98</v>
      </c>
      <c r="BJ842" s="4"/>
      <c r="BK842" s="8"/>
      <c r="BL842" s="2" t="s">
        <v>98</v>
      </c>
      <c r="BM842" s="7"/>
      <c r="BN842" s="7"/>
      <c r="BO842" s="4"/>
      <c r="BP842" s="8"/>
      <c r="BQ842" s="4"/>
      <c r="BR842" s="8"/>
      <c r="BS842" s="7"/>
      <c r="BT842" s="7"/>
      <c r="BU842" s="2" t="s">
        <v>316</v>
      </c>
      <c r="BV842" s="2" t="s">
        <v>95</v>
      </c>
      <c r="BW842" s="2" t="s">
        <v>98</v>
      </c>
      <c r="BX842" s="2" t="s">
        <v>98</v>
      </c>
      <c r="BY842" s="2" t="s">
        <v>111</v>
      </c>
    </row>
    <row r="843">
      <c r="A843" s="2" t="s">
        <v>2849</v>
      </c>
      <c r="B843" s="2" t="s">
        <v>86</v>
      </c>
      <c r="C843" s="2" t="s">
        <v>2843</v>
      </c>
      <c r="D843" s="2" t="s">
        <v>88</v>
      </c>
      <c r="E843" s="2" t="s">
        <v>88</v>
      </c>
      <c r="F843" s="2" t="s">
        <v>2844</v>
      </c>
      <c r="G843" s="2" t="s">
        <v>2844</v>
      </c>
      <c r="H843" s="2" t="s">
        <v>2844</v>
      </c>
      <c r="I843" s="2" t="s">
        <v>2845</v>
      </c>
      <c r="J843" s="2" t="s">
        <v>93</v>
      </c>
      <c r="K843" s="2" t="s">
        <v>290</v>
      </c>
      <c r="L843" s="3">
        <v>24.75</v>
      </c>
      <c r="M843" s="3">
        <v>25.99</v>
      </c>
      <c r="N843" s="3">
        <v>59.99</v>
      </c>
      <c r="O843" s="2" t="s">
        <v>95</v>
      </c>
      <c r="P843" s="2" t="s">
        <v>150</v>
      </c>
      <c r="Q843" s="2" t="s">
        <v>97</v>
      </c>
      <c r="R843" s="2" t="s">
        <v>98</v>
      </c>
      <c r="S843" s="2" t="s">
        <v>2850</v>
      </c>
      <c r="T843" s="2" t="s">
        <v>1672</v>
      </c>
      <c r="U843" s="2" t="s">
        <v>100</v>
      </c>
      <c r="V843" s="2" t="s">
        <v>617</v>
      </c>
      <c r="W843" s="2" t="s">
        <v>2023</v>
      </c>
      <c r="X843" s="2" t="s">
        <v>372</v>
      </c>
      <c r="Y843" s="2" t="s">
        <v>2851</v>
      </c>
      <c r="Z843" s="4">
        <v>402</v>
      </c>
      <c r="AA843" s="4">
        <f>=ROUNDDOWN(12.5625,0)</f>
      </c>
      <c r="AB843" s="5">
        <v>32</v>
      </c>
      <c r="AC843" s="2" t="s">
        <v>2852</v>
      </c>
      <c r="AD843" s="4">
        <v>640</v>
      </c>
      <c r="AE843" s="4">
        <v>1440</v>
      </c>
      <c r="AF843" s="6">
        <v>73</v>
      </c>
      <c r="AG843" s="6"/>
      <c r="AH843" s="7">
        <v>0.8</v>
      </c>
      <c r="AI843" s="4">
        <v>1</v>
      </c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50</v>
      </c>
      <c r="AQ843" s="8">
        <v>1473.5</v>
      </c>
      <c r="AR843" s="4"/>
      <c r="AS843" s="8"/>
      <c r="AT843" s="7"/>
      <c r="AU843" s="7"/>
      <c r="AV843" s="4">
        <v>50</v>
      </c>
      <c r="AW843" s="8">
        <v>1473.5</v>
      </c>
      <c r="AX843" s="4"/>
      <c r="AY843" s="8"/>
      <c r="AZ843" s="7"/>
      <c r="BA843" s="7"/>
      <c r="BB843" s="7">
        <v>1</v>
      </c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>
        <v>0.2203</v>
      </c>
      <c r="BJ843" s="4">
        <v>247</v>
      </c>
      <c r="BK843" s="8">
        <v>7203.68</v>
      </c>
      <c r="BL843" s="2" t="s">
        <v>2853</v>
      </c>
      <c r="BM843" s="7">
        <v>0.2024</v>
      </c>
      <c r="BN843" s="7">
        <v>0.2045</v>
      </c>
      <c r="BO843" s="4">
        <v>50</v>
      </c>
      <c r="BP843" s="8">
        <v>1473.5</v>
      </c>
      <c r="BQ843" s="4"/>
      <c r="BR843" s="8"/>
      <c r="BS843" s="7"/>
      <c r="BT843" s="7"/>
      <c r="BU843" s="2" t="s">
        <v>107</v>
      </c>
      <c r="BV843" s="2" t="s">
        <v>108</v>
      </c>
      <c r="BW843" s="2" t="s">
        <v>171</v>
      </c>
      <c r="BX843" s="2" t="s">
        <v>197</v>
      </c>
      <c r="BY843" s="2" t="s">
        <v>111</v>
      </c>
    </row>
    <row r="844">
      <c r="A844" s="2" t="s">
        <v>2854</v>
      </c>
      <c r="B844" s="2" t="s">
        <v>86</v>
      </c>
      <c r="C844" s="2" t="s">
        <v>2843</v>
      </c>
      <c r="D844" s="2" t="s">
        <v>88</v>
      </c>
      <c r="E844" s="2" t="s">
        <v>88</v>
      </c>
      <c r="F844" s="2" t="s">
        <v>2844</v>
      </c>
      <c r="G844" s="2" t="s">
        <v>2844</v>
      </c>
      <c r="H844" s="2" t="s">
        <v>2844</v>
      </c>
      <c r="I844" s="2" t="s">
        <v>2845</v>
      </c>
      <c r="J844" s="2" t="s">
        <v>93</v>
      </c>
      <c r="K844" s="2" t="s">
        <v>2586</v>
      </c>
      <c r="L844" s="3">
        <v>24.75</v>
      </c>
      <c r="M844" s="3">
        <v>25.99</v>
      </c>
      <c r="N844" s="3">
        <v>59.99</v>
      </c>
      <c r="O844" s="2" t="s">
        <v>95</v>
      </c>
      <c r="P844" s="2" t="s">
        <v>699</v>
      </c>
      <c r="Q844" s="2" t="s">
        <v>97</v>
      </c>
      <c r="R844" s="2" t="s">
        <v>98</v>
      </c>
      <c r="S844" s="2" t="s">
        <v>2855</v>
      </c>
      <c r="T844" s="2" t="s">
        <v>1672</v>
      </c>
      <c r="U844" s="2" t="s">
        <v>100</v>
      </c>
      <c r="V844" s="2" t="s">
        <v>617</v>
      </c>
      <c r="W844" s="2" t="s">
        <v>2023</v>
      </c>
      <c r="X844" s="2" t="s">
        <v>372</v>
      </c>
      <c r="Y844" s="2" t="s">
        <v>1484</v>
      </c>
      <c r="Z844" s="4">
        <v>374</v>
      </c>
      <c r="AA844" s="4">
        <f>=ROUNDDOWN(4.4,0)</f>
      </c>
      <c r="AB844" s="5">
        <v>85</v>
      </c>
      <c r="AC844" s="2" t="s">
        <v>2852</v>
      </c>
      <c r="AD844" s="4">
        <v>252</v>
      </c>
      <c r="AE844" s="4">
        <v>1444</v>
      </c>
      <c r="AF844" s="6">
        <v>73</v>
      </c>
      <c r="AG844" s="6">
        <v>81</v>
      </c>
      <c r="AH844" s="7">
        <v>0.5444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47</v>
      </c>
      <c r="AQ844" s="8">
        <v>1385.09</v>
      </c>
      <c r="AR844" s="4"/>
      <c r="AS844" s="8"/>
      <c r="AT844" s="7"/>
      <c r="AU844" s="7"/>
      <c r="AV844" s="4">
        <v>47</v>
      </c>
      <c r="AW844" s="8">
        <v>1385.09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>
        <v>1</v>
      </c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>
        <v>0.207</v>
      </c>
      <c r="BJ844" s="4">
        <v>601</v>
      </c>
      <c r="BK844" s="8">
        <v>16610.85</v>
      </c>
      <c r="BL844" s="2" t="s">
        <v>2856</v>
      </c>
      <c r="BM844" s="7">
        <v>0.0782</v>
      </c>
      <c r="BN844" s="7">
        <v>0.0834</v>
      </c>
      <c r="BO844" s="4">
        <v>47</v>
      </c>
      <c r="BP844" s="8">
        <v>1385.09</v>
      </c>
      <c r="BQ844" s="4"/>
      <c r="BR844" s="8"/>
      <c r="BS844" s="7"/>
      <c r="BT844" s="7"/>
      <c r="BU844" s="2" t="s">
        <v>107</v>
      </c>
      <c r="BV844" s="2" t="s">
        <v>108</v>
      </c>
      <c r="BW844" s="2" t="s">
        <v>2421</v>
      </c>
      <c r="BX844" s="2" t="s">
        <v>2857</v>
      </c>
      <c r="BY844" s="2" t="s">
        <v>111</v>
      </c>
    </row>
    <row r="845">
      <c r="A845" s="2" t="s">
        <v>2858</v>
      </c>
      <c r="B845" s="2" t="s">
        <v>86</v>
      </c>
      <c r="C845" s="2" t="s">
        <v>2843</v>
      </c>
      <c r="D845" s="2" t="s">
        <v>88</v>
      </c>
      <c r="E845" s="2" t="s">
        <v>88</v>
      </c>
      <c r="F845" s="2" t="s">
        <v>2844</v>
      </c>
      <c r="G845" s="2" t="s">
        <v>2844</v>
      </c>
      <c r="H845" s="2" t="s">
        <v>2844</v>
      </c>
      <c r="I845" s="2" t="s">
        <v>2845</v>
      </c>
      <c r="J845" s="2" t="s">
        <v>113</v>
      </c>
      <c r="K845" s="2" t="s">
        <v>2586</v>
      </c>
      <c r="L845" s="3">
        <v>28</v>
      </c>
      <c r="M845" s="3">
        <v>29.4</v>
      </c>
      <c r="N845" s="3">
        <v>64.99</v>
      </c>
      <c r="O845" s="2" t="s">
        <v>95</v>
      </c>
      <c r="P845" s="2" t="s">
        <v>150</v>
      </c>
      <c r="Q845" s="2" t="s">
        <v>97</v>
      </c>
      <c r="R845" s="2" t="s">
        <v>98</v>
      </c>
      <c r="S845" s="2" t="s">
        <v>2855</v>
      </c>
      <c r="T845" s="2" t="s">
        <v>1672</v>
      </c>
      <c r="U845" s="2" t="s">
        <v>100</v>
      </c>
      <c r="V845" s="2" t="s">
        <v>617</v>
      </c>
      <c r="W845" s="2" t="s">
        <v>2023</v>
      </c>
      <c r="X845" s="2" t="s">
        <v>372</v>
      </c>
      <c r="Y845" s="2" t="s">
        <v>2859</v>
      </c>
      <c r="Z845" s="4">
        <v>211</v>
      </c>
      <c r="AA845" s="4">
        <f>=ROUNDDOWN(8.44,0)</f>
      </c>
      <c r="AB845" s="5">
        <v>25</v>
      </c>
      <c r="AC845" s="2" t="s">
        <v>2852</v>
      </c>
      <c r="AD845" s="4">
        <v>432</v>
      </c>
      <c r="AE845" s="4">
        <v>844</v>
      </c>
      <c r="AF845" s="6">
        <v>73</v>
      </c>
      <c r="AG845" s="6"/>
      <c r="AH845" s="7">
        <v>0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98</v>
      </c>
      <c r="AW845" s="8" t="s">
        <v>98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/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 t="s">
        <v>98</v>
      </c>
      <c r="BJ845" s="4"/>
      <c r="BK845" s="8"/>
      <c r="BL845" s="2" t="s">
        <v>98</v>
      </c>
      <c r="BM845" s="7"/>
      <c r="BN845" s="7"/>
      <c r="BO845" s="4"/>
      <c r="BP845" s="8"/>
      <c r="BQ845" s="4"/>
      <c r="BR845" s="8"/>
      <c r="BS845" s="7"/>
      <c r="BT845" s="7"/>
      <c r="BU845" s="2" t="s">
        <v>316</v>
      </c>
      <c r="BV845" s="2" t="s">
        <v>95</v>
      </c>
      <c r="BW845" s="2" t="s">
        <v>98</v>
      </c>
      <c r="BX845" s="2" t="s">
        <v>98</v>
      </c>
      <c r="BY845" s="2" t="s">
        <v>111</v>
      </c>
    </row>
    <row r="846">
      <c r="A846" s="2" t="s">
        <v>2860</v>
      </c>
      <c r="B846" s="2" t="s">
        <v>86</v>
      </c>
      <c r="C846" s="2" t="s">
        <v>2843</v>
      </c>
      <c r="D846" s="2" t="s">
        <v>88</v>
      </c>
      <c r="E846" s="2" t="s">
        <v>88</v>
      </c>
      <c r="F846" s="2" t="s">
        <v>2844</v>
      </c>
      <c r="G846" s="2" t="s">
        <v>2844</v>
      </c>
      <c r="H846" s="2" t="s">
        <v>2844</v>
      </c>
      <c r="I846" s="2" t="s">
        <v>2845</v>
      </c>
      <c r="J846" s="2" t="s">
        <v>93</v>
      </c>
      <c r="K846" s="2" t="s">
        <v>2861</v>
      </c>
      <c r="L846" s="3">
        <v>24.75</v>
      </c>
      <c r="M846" s="3">
        <v>25.99</v>
      </c>
      <c r="N846" s="3">
        <v>59.99</v>
      </c>
      <c r="O846" s="2" t="s">
        <v>95</v>
      </c>
      <c r="P846" s="2" t="s">
        <v>150</v>
      </c>
      <c r="Q846" s="2" t="s">
        <v>97</v>
      </c>
      <c r="R846" s="2" t="s">
        <v>98</v>
      </c>
      <c r="S846" s="2" t="s">
        <v>2862</v>
      </c>
      <c r="T846" s="2" t="s">
        <v>1672</v>
      </c>
      <c r="U846" s="2" t="s">
        <v>100</v>
      </c>
      <c r="V846" s="2" t="s">
        <v>617</v>
      </c>
      <c r="W846" s="2" t="s">
        <v>2023</v>
      </c>
      <c r="X846" s="2" t="s">
        <v>372</v>
      </c>
      <c r="Y846" s="2" t="s">
        <v>2859</v>
      </c>
      <c r="Z846" s="4">
        <v>183</v>
      </c>
      <c r="AA846" s="4">
        <f>=ROUNDDOWN(3.32727272727273,0)</f>
      </c>
      <c r="AB846" s="5">
        <v>55</v>
      </c>
      <c r="AC846" s="2" t="s">
        <v>2863</v>
      </c>
      <c r="AD846" s="4">
        <v>500</v>
      </c>
      <c r="AE846" s="4">
        <v>1672</v>
      </c>
      <c r="AF846" s="6">
        <v>73</v>
      </c>
      <c r="AG846" s="6"/>
      <c r="AH846" s="7">
        <v>0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98</v>
      </c>
      <c r="AW846" s="8" t="s">
        <v>98</v>
      </c>
      <c r="AX846" s="4" t="s">
        <v>98</v>
      </c>
      <c r="AY846" s="8" t="s">
        <v>98</v>
      </c>
      <c r="AZ846" s="7" t="s">
        <v>98</v>
      </c>
      <c r="BA846" s="7" t="s">
        <v>98</v>
      </c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 t="s">
        <v>98</v>
      </c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316</v>
      </c>
      <c r="BV846" s="2" t="s">
        <v>95</v>
      </c>
      <c r="BW846" s="2" t="s">
        <v>98</v>
      </c>
      <c r="BX846" s="2" t="s">
        <v>98</v>
      </c>
      <c r="BY846" s="2" t="s">
        <v>111</v>
      </c>
    </row>
    <row r="847">
      <c r="A847" s="2" t="s">
        <v>2864</v>
      </c>
      <c r="B847" s="2" t="s">
        <v>86</v>
      </c>
      <c r="C847" s="2" t="s">
        <v>2843</v>
      </c>
      <c r="D847" s="2" t="s">
        <v>88</v>
      </c>
      <c r="E847" s="2" t="s">
        <v>88</v>
      </c>
      <c r="F847" s="2" t="s">
        <v>2844</v>
      </c>
      <c r="G847" s="2" t="s">
        <v>2844</v>
      </c>
      <c r="H847" s="2" t="s">
        <v>2844</v>
      </c>
      <c r="I847" s="2" t="s">
        <v>2845</v>
      </c>
      <c r="J847" s="2" t="s">
        <v>113</v>
      </c>
      <c r="K847" s="2" t="s">
        <v>2861</v>
      </c>
      <c r="L847" s="3">
        <v>28</v>
      </c>
      <c r="M847" s="3">
        <v>29.4</v>
      </c>
      <c r="N847" s="3">
        <v>64.99</v>
      </c>
      <c r="O847" s="2" t="s">
        <v>95</v>
      </c>
      <c r="P847" s="2" t="s">
        <v>150</v>
      </c>
      <c r="Q847" s="2" t="s">
        <v>97</v>
      </c>
      <c r="R847" s="2" t="s">
        <v>98</v>
      </c>
      <c r="S847" s="2" t="s">
        <v>2862</v>
      </c>
      <c r="T847" s="2" t="s">
        <v>1672</v>
      </c>
      <c r="U847" s="2" t="s">
        <v>100</v>
      </c>
      <c r="V847" s="2" t="s">
        <v>617</v>
      </c>
      <c r="W847" s="2" t="s">
        <v>2023</v>
      </c>
      <c r="X847" s="2" t="s">
        <v>372</v>
      </c>
      <c r="Y847" s="2" t="s">
        <v>2859</v>
      </c>
      <c r="Z847" s="4">
        <v>160</v>
      </c>
      <c r="AA847" s="4">
        <f>=ROUNDDOWN(4.21052631578947,0)</f>
      </c>
      <c r="AB847" s="5">
        <v>38</v>
      </c>
      <c r="AC847" s="2" t="s">
        <v>2863</v>
      </c>
      <c r="AD847" s="4">
        <v>352</v>
      </c>
      <c r="AE847" s="4">
        <v>1208</v>
      </c>
      <c r="AF847" s="6">
        <v>73</v>
      </c>
      <c r="AG847" s="6"/>
      <c r="AH847" s="7">
        <v>0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98</v>
      </c>
      <c r="AW847" s="8" t="s">
        <v>98</v>
      </c>
      <c r="AX847" s="4" t="s">
        <v>98</v>
      </c>
      <c r="AY847" s="8" t="s">
        <v>98</v>
      </c>
      <c r="AZ847" s="7" t="s">
        <v>98</v>
      </c>
      <c r="BA847" s="7" t="s">
        <v>98</v>
      </c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 t="s">
        <v>98</v>
      </c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316</v>
      </c>
      <c r="BV847" s="2" t="s">
        <v>95</v>
      </c>
      <c r="BW847" s="2" t="s">
        <v>98</v>
      </c>
      <c r="BX847" s="2" t="s">
        <v>98</v>
      </c>
      <c r="BY847" s="2" t="s">
        <v>111</v>
      </c>
    </row>
    <row r="848">
      <c r="A848" s="2" t="s">
        <v>2865</v>
      </c>
      <c r="B848" s="2" t="s">
        <v>86</v>
      </c>
      <c r="C848" s="2" t="s">
        <v>2843</v>
      </c>
      <c r="D848" s="2" t="s">
        <v>88</v>
      </c>
      <c r="E848" s="2" t="s">
        <v>88</v>
      </c>
      <c r="F848" s="2" t="s">
        <v>2866</v>
      </c>
      <c r="G848" s="2" t="s">
        <v>2866</v>
      </c>
      <c r="H848" s="2" t="s">
        <v>2866</v>
      </c>
      <c r="I848" s="2" t="s">
        <v>2867</v>
      </c>
      <c r="J848" s="2" t="s">
        <v>93</v>
      </c>
      <c r="K848" s="2" t="s">
        <v>997</v>
      </c>
      <c r="L848" s="3">
        <v>22.5</v>
      </c>
      <c r="M848" s="3">
        <v>23.62</v>
      </c>
      <c r="N848" s="3">
        <v>49.99</v>
      </c>
      <c r="O848" s="2" t="s">
        <v>95</v>
      </c>
      <c r="P848" s="2" t="s">
        <v>150</v>
      </c>
      <c r="Q848" s="2" t="s">
        <v>97</v>
      </c>
      <c r="R848" s="2" t="s">
        <v>98</v>
      </c>
      <c r="S848" s="2" t="s">
        <v>2868</v>
      </c>
      <c r="T848" s="2" t="s">
        <v>1672</v>
      </c>
      <c r="U848" s="2" t="s">
        <v>100</v>
      </c>
      <c r="V848" s="2" t="s">
        <v>2869</v>
      </c>
      <c r="W848" s="2" t="s">
        <v>2870</v>
      </c>
      <c r="X848" s="2" t="s">
        <v>372</v>
      </c>
      <c r="Y848" s="2" t="s">
        <v>2871</v>
      </c>
      <c r="Z848" s="4">
        <v>205</v>
      </c>
      <c r="AA848" s="4">
        <f>=ROUNDDOWN(10.25,0)</f>
      </c>
      <c r="AB848" s="5">
        <v>20</v>
      </c>
      <c r="AC848" s="2" t="s">
        <v>2872</v>
      </c>
      <c r="AD848" s="4">
        <v>320</v>
      </c>
      <c r="AE848" s="4">
        <v>320</v>
      </c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29</v>
      </c>
      <c r="AQ848" s="8">
        <v>684.98</v>
      </c>
      <c r="AR848" s="4"/>
      <c r="AS848" s="8"/>
      <c r="AT848" s="7"/>
      <c r="AU848" s="7"/>
      <c r="AV848" s="4">
        <v>29</v>
      </c>
      <c r="AW848" s="8">
        <v>684.98</v>
      </c>
      <c r="AX848" s="4"/>
      <c r="AY848" s="8"/>
      <c r="AZ848" s="7"/>
      <c r="BA848" s="7"/>
      <c r="BB848" s="7">
        <v>1</v>
      </c>
      <c r="BC848" s="4">
        <v>59</v>
      </c>
      <c r="BD848" s="8">
        <v>1393.58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>
        <v>0.4915</v>
      </c>
      <c r="BJ848" s="4">
        <v>282</v>
      </c>
      <c r="BK848" s="8">
        <v>7068.06</v>
      </c>
      <c r="BL848" s="2" t="s">
        <v>362</v>
      </c>
      <c r="BM848" s="7">
        <v>0.1028</v>
      </c>
      <c r="BN848" s="7">
        <v>0.0969</v>
      </c>
      <c r="BO848" s="4">
        <v>29</v>
      </c>
      <c r="BP848" s="8">
        <v>684.98</v>
      </c>
      <c r="BQ848" s="4"/>
      <c r="BR848" s="8"/>
      <c r="BS848" s="7"/>
      <c r="BT848" s="7"/>
      <c r="BU848" s="2" t="s">
        <v>107</v>
      </c>
      <c r="BV848" s="2" t="s">
        <v>108</v>
      </c>
      <c r="BW848" s="2" t="s">
        <v>606</v>
      </c>
      <c r="BX848" s="2" t="s">
        <v>909</v>
      </c>
      <c r="BY848" s="2" t="s">
        <v>111</v>
      </c>
    </row>
    <row r="849">
      <c r="A849" s="2" t="s">
        <v>2873</v>
      </c>
      <c r="B849" s="2" t="s">
        <v>86</v>
      </c>
      <c r="C849" s="2" t="s">
        <v>2843</v>
      </c>
      <c r="D849" s="2" t="s">
        <v>88</v>
      </c>
      <c r="E849" s="2" t="s">
        <v>88</v>
      </c>
      <c r="F849" s="2" t="s">
        <v>2866</v>
      </c>
      <c r="G849" s="2" t="s">
        <v>2866</v>
      </c>
      <c r="H849" s="2" t="s">
        <v>2866</v>
      </c>
      <c r="I849" s="2" t="s">
        <v>2867</v>
      </c>
      <c r="J849" s="2" t="s">
        <v>93</v>
      </c>
      <c r="K849" s="2" t="s">
        <v>299</v>
      </c>
      <c r="L849" s="3">
        <v>22.5</v>
      </c>
      <c r="M849" s="3">
        <v>23.62</v>
      </c>
      <c r="N849" s="3">
        <v>49.99</v>
      </c>
      <c r="O849" s="2" t="s">
        <v>95</v>
      </c>
      <c r="P849" s="2" t="s">
        <v>150</v>
      </c>
      <c r="Q849" s="2" t="s">
        <v>97</v>
      </c>
      <c r="R849" s="2" t="s">
        <v>98</v>
      </c>
      <c r="S849" s="2" t="s">
        <v>2874</v>
      </c>
      <c r="T849" s="2" t="s">
        <v>1672</v>
      </c>
      <c r="U849" s="2" t="s">
        <v>100</v>
      </c>
      <c r="V849" s="2" t="s">
        <v>2869</v>
      </c>
      <c r="W849" s="2" t="s">
        <v>2870</v>
      </c>
      <c r="X849" s="2" t="s">
        <v>372</v>
      </c>
      <c r="Y849" s="2" t="s">
        <v>2875</v>
      </c>
      <c r="Z849" s="4">
        <v>199</v>
      </c>
      <c r="AA849" s="4">
        <f>=ROUNDDOWN(11.7058823529412,0)</f>
      </c>
      <c r="AB849" s="5">
        <v>17</v>
      </c>
      <c r="AC849" s="2" t="s">
        <v>2872</v>
      </c>
      <c r="AD849" s="4">
        <v>320</v>
      </c>
      <c r="AE849" s="4">
        <v>320</v>
      </c>
      <c r="AF849" s="6">
        <v>65</v>
      </c>
      <c r="AG849" s="6"/>
      <c r="AH849" s="7">
        <v>0.5778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20</v>
      </c>
      <c r="AQ849" s="8">
        <v>472.4</v>
      </c>
      <c r="AR849" s="4"/>
      <c r="AS849" s="8"/>
      <c r="AT849" s="7"/>
      <c r="AU849" s="7"/>
      <c r="AV849" s="4">
        <v>20</v>
      </c>
      <c r="AW849" s="8">
        <v>472.4</v>
      </c>
      <c r="AX849" s="4"/>
      <c r="AY849" s="8"/>
      <c r="AZ849" s="7"/>
      <c r="BA849" s="7"/>
      <c r="BB849" s="7">
        <v>1</v>
      </c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>
        <v>0.339</v>
      </c>
      <c r="BJ849" s="4">
        <v>160</v>
      </c>
      <c r="BK849" s="8">
        <v>4015.15</v>
      </c>
      <c r="BL849" s="2" t="s">
        <v>904</v>
      </c>
      <c r="BM849" s="7">
        <v>0.125</v>
      </c>
      <c r="BN849" s="7">
        <v>0.1177</v>
      </c>
      <c r="BO849" s="4">
        <v>20</v>
      </c>
      <c r="BP849" s="8">
        <v>472.4</v>
      </c>
      <c r="BQ849" s="4"/>
      <c r="BR849" s="8"/>
      <c r="BS849" s="7"/>
      <c r="BT849" s="7"/>
      <c r="BU849" s="2" t="s">
        <v>107</v>
      </c>
      <c r="BV849" s="2" t="s">
        <v>108</v>
      </c>
      <c r="BW849" s="2" t="s">
        <v>606</v>
      </c>
      <c r="BX849" s="2" t="s">
        <v>2654</v>
      </c>
      <c r="BY849" s="2" t="s">
        <v>111</v>
      </c>
    </row>
    <row r="850">
      <c r="A850" s="2" t="s">
        <v>2876</v>
      </c>
      <c r="B850" s="2" t="s">
        <v>86</v>
      </c>
      <c r="C850" s="2" t="s">
        <v>2843</v>
      </c>
      <c r="D850" s="2" t="s">
        <v>88</v>
      </c>
      <c r="E850" s="2" t="s">
        <v>88</v>
      </c>
      <c r="F850" s="2" t="s">
        <v>2866</v>
      </c>
      <c r="G850" s="2" t="s">
        <v>2866</v>
      </c>
      <c r="H850" s="2" t="s">
        <v>2866</v>
      </c>
      <c r="I850" s="2" t="s">
        <v>2867</v>
      </c>
      <c r="J850" s="2" t="s">
        <v>93</v>
      </c>
      <c r="K850" s="2" t="s">
        <v>2586</v>
      </c>
      <c r="L850" s="3">
        <v>22.5</v>
      </c>
      <c r="M850" s="3">
        <v>23.62</v>
      </c>
      <c r="N850" s="3">
        <v>49.99</v>
      </c>
      <c r="O850" s="2" t="s">
        <v>95</v>
      </c>
      <c r="P850" s="2" t="s">
        <v>220</v>
      </c>
      <c r="Q850" s="2" t="s">
        <v>97</v>
      </c>
      <c r="R850" s="2" t="s">
        <v>98</v>
      </c>
      <c r="S850" s="2" t="s">
        <v>2877</v>
      </c>
      <c r="T850" s="2" t="s">
        <v>1672</v>
      </c>
      <c r="U850" s="2" t="s">
        <v>100</v>
      </c>
      <c r="V850" s="2" t="s">
        <v>2869</v>
      </c>
      <c r="W850" s="2" t="s">
        <v>2870</v>
      </c>
      <c r="X850" s="2" t="s">
        <v>372</v>
      </c>
      <c r="Y850" s="2" t="s">
        <v>2878</v>
      </c>
      <c r="Z850" s="4">
        <v>180</v>
      </c>
      <c r="AA850" s="4">
        <f>=ROUNDDOWN(60,0)</f>
      </c>
      <c r="AB850" s="5">
        <v>3</v>
      </c>
      <c r="AC850" s="2" t="s">
        <v>98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10</v>
      </c>
      <c r="AQ850" s="8">
        <v>236.2</v>
      </c>
      <c r="AR850" s="4"/>
      <c r="AS850" s="8"/>
      <c r="AT850" s="7"/>
      <c r="AU850" s="7"/>
      <c r="AV850" s="4">
        <v>10</v>
      </c>
      <c r="AW850" s="8">
        <v>236.2</v>
      </c>
      <c r="AX850" s="4"/>
      <c r="AY850" s="8"/>
      <c r="AZ850" s="7"/>
      <c r="BA850" s="7"/>
      <c r="BB850" s="7">
        <v>1</v>
      </c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>
        <v>0.1695</v>
      </c>
      <c r="BJ850" s="4">
        <v>103</v>
      </c>
      <c r="BK850" s="8">
        <v>2601.06</v>
      </c>
      <c r="BL850" s="2" t="s">
        <v>846</v>
      </c>
      <c r="BM850" s="7">
        <v>0.0971</v>
      </c>
      <c r="BN850" s="7">
        <v>0.0908</v>
      </c>
      <c r="BO850" s="4">
        <v>10</v>
      </c>
      <c r="BP850" s="8">
        <v>236.2</v>
      </c>
      <c r="BQ850" s="4"/>
      <c r="BR850" s="8"/>
      <c r="BS850" s="7"/>
      <c r="BT850" s="7"/>
      <c r="BU850" s="2" t="s">
        <v>107</v>
      </c>
      <c r="BV850" s="2" t="s">
        <v>108</v>
      </c>
      <c r="BW850" s="2" t="s">
        <v>171</v>
      </c>
      <c r="BX850" s="2" t="s">
        <v>923</v>
      </c>
      <c r="BY850" s="2" t="s">
        <v>111</v>
      </c>
    </row>
    <row r="851">
      <c r="A851" s="2" t="s">
        <v>2879</v>
      </c>
      <c r="B851" s="2" t="s">
        <v>86</v>
      </c>
      <c r="C851" s="2" t="s">
        <v>2843</v>
      </c>
      <c r="D851" s="2" t="s">
        <v>88</v>
      </c>
      <c r="E851" s="2" t="s">
        <v>88</v>
      </c>
      <c r="F851" s="2" t="s">
        <v>2880</v>
      </c>
      <c r="G851" s="2" t="s">
        <v>2880</v>
      </c>
      <c r="H851" s="2" t="s">
        <v>2880</v>
      </c>
      <c r="I851" s="2" t="s">
        <v>2881</v>
      </c>
      <c r="J851" s="2" t="s">
        <v>93</v>
      </c>
      <c r="K851" s="2" t="s">
        <v>2882</v>
      </c>
      <c r="L851" s="3">
        <v>21.12</v>
      </c>
      <c r="M851" s="3">
        <v>22.18</v>
      </c>
      <c r="N851" s="3">
        <v>47.99</v>
      </c>
      <c r="O851" s="2" t="s">
        <v>95</v>
      </c>
      <c r="P851" s="2" t="s">
        <v>150</v>
      </c>
      <c r="Q851" s="2" t="s">
        <v>97</v>
      </c>
      <c r="R851" s="2" t="s">
        <v>98</v>
      </c>
      <c r="S851" s="2" t="s">
        <v>2883</v>
      </c>
      <c r="T851" s="2" t="s">
        <v>1672</v>
      </c>
      <c r="U851" s="2" t="s">
        <v>100</v>
      </c>
      <c r="V851" s="2" t="s">
        <v>2869</v>
      </c>
      <c r="W851" s="2" t="s">
        <v>335</v>
      </c>
      <c r="X851" s="2" t="s">
        <v>372</v>
      </c>
      <c r="Y851" s="2" t="s">
        <v>2884</v>
      </c>
      <c r="Z851" s="4">
        <v>626</v>
      </c>
      <c r="AA851" s="4">
        <f>=ROUNDDOWN(27.2173913043478,0)</f>
      </c>
      <c r="AB851" s="5">
        <v>23</v>
      </c>
      <c r="AC851" s="2" t="s">
        <v>624</v>
      </c>
      <c r="AD851" s="4">
        <v>300</v>
      </c>
      <c r="AE851" s="4">
        <v>300</v>
      </c>
      <c r="AF851" s="6">
        <v>64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20</v>
      </c>
      <c r="AQ851" s="8">
        <v>465.6</v>
      </c>
      <c r="AR851" s="4"/>
      <c r="AS851" s="8"/>
      <c r="AT851" s="7"/>
      <c r="AU851" s="7"/>
      <c r="AV851" s="4">
        <v>20</v>
      </c>
      <c r="AW851" s="8">
        <v>465.6</v>
      </c>
      <c r="AX851" s="4"/>
      <c r="AY851" s="8"/>
      <c r="AZ851" s="7"/>
      <c r="BA851" s="7"/>
      <c r="BB851" s="7">
        <v>1</v>
      </c>
      <c r="BC851" s="4">
        <v>20</v>
      </c>
      <c r="BD851" s="8">
        <v>465.6</v>
      </c>
      <c r="BE851" s="4"/>
      <c r="BF851" s="8"/>
      <c r="BG851" s="7"/>
      <c r="BH851" s="7"/>
      <c r="BI851" s="7">
        <v>1</v>
      </c>
      <c r="BJ851" s="4">
        <v>337</v>
      </c>
      <c r="BK851" s="8">
        <v>7722.26</v>
      </c>
      <c r="BL851" s="2" t="s">
        <v>196</v>
      </c>
      <c r="BM851" s="7">
        <v>0.0593</v>
      </c>
      <c r="BN851" s="7">
        <v>0.0603</v>
      </c>
      <c r="BO851" s="4">
        <v>20</v>
      </c>
      <c r="BP851" s="8">
        <v>465.6</v>
      </c>
      <c r="BQ851" s="4"/>
      <c r="BR851" s="8"/>
      <c r="BS851" s="7"/>
      <c r="BT851" s="7"/>
      <c r="BU851" s="2" t="s">
        <v>107</v>
      </c>
      <c r="BV851" s="2" t="s">
        <v>108</v>
      </c>
      <c r="BW851" s="2" t="s">
        <v>2885</v>
      </c>
      <c r="BX851" s="2" t="s">
        <v>2886</v>
      </c>
      <c r="BY851" s="2" t="s">
        <v>111</v>
      </c>
    </row>
    <row r="852">
      <c r="A852" s="2" t="s">
        <v>2887</v>
      </c>
      <c r="B852" s="2" t="s">
        <v>86</v>
      </c>
      <c r="C852" s="2" t="s">
        <v>2843</v>
      </c>
      <c r="D852" s="2" t="s">
        <v>2002</v>
      </c>
      <c r="E852" s="2" t="s">
        <v>2003</v>
      </c>
      <c r="F852" s="2" t="s">
        <v>2888</v>
      </c>
      <c r="G852" s="2" t="s">
        <v>2888</v>
      </c>
      <c r="H852" s="2" t="s">
        <v>2888</v>
      </c>
      <c r="I852" s="2" t="s">
        <v>2889</v>
      </c>
      <c r="J852" s="2" t="s">
        <v>2890</v>
      </c>
      <c r="K852" s="2" t="s">
        <v>464</v>
      </c>
      <c r="L852" s="3">
        <v>15.75</v>
      </c>
      <c r="M852" s="3">
        <v>16.54</v>
      </c>
      <c r="N852" s="3">
        <v>34.99</v>
      </c>
      <c r="O852" s="2" t="s">
        <v>368</v>
      </c>
      <c r="P852" s="2" t="s">
        <v>215</v>
      </c>
      <c r="Q852" s="2" t="s">
        <v>97</v>
      </c>
      <c r="R852" s="2" t="s">
        <v>98</v>
      </c>
      <c r="S852" s="2" t="s">
        <v>2891</v>
      </c>
      <c r="T852" s="2" t="s">
        <v>98</v>
      </c>
      <c r="U852" s="2" t="s">
        <v>98</v>
      </c>
      <c r="V852" s="2" t="s">
        <v>617</v>
      </c>
      <c r="W852" s="2" t="s">
        <v>2023</v>
      </c>
      <c r="X852" s="2" t="s">
        <v>98</v>
      </c>
      <c r="Y852" s="2" t="s">
        <v>104</v>
      </c>
      <c r="Z852" s="4"/>
      <c r="AA852" s="4">
        <f>=ROUNDDOWN({0},0)</f>
      </c>
      <c r="AB852" s="5"/>
      <c r="AC852" s="2" t="s">
        <v>98</v>
      </c>
      <c r="AD852" s="4"/>
      <c r="AE852" s="4"/>
      <c r="AF852" s="6">
        <v>65</v>
      </c>
      <c r="AG852" s="6"/>
      <c r="AH852" s="7">
        <v>0.3667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>
        <v>63</v>
      </c>
      <c r="AS852" s="8">
        <v>843.57</v>
      </c>
      <c r="AT852" s="7">
        <v>-1</v>
      </c>
      <c r="AU852" s="7">
        <v>-1</v>
      </c>
      <c r="AV852" s="4" t="s">
        <v>98</v>
      </c>
      <c r="AW852" s="8" t="s">
        <v>98</v>
      </c>
      <c r="AX852" s="4">
        <v>110</v>
      </c>
      <c r="AY852" s="8">
        <v>1683.46</v>
      </c>
      <c r="AZ852" s="7" t="s">
        <v>98</v>
      </c>
      <c r="BA852" s="7" t="s">
        <v>98</v>
      </c>
      <c r="BB852" s="7"/>
      <c r="BC852" s="4" t="s">
        <v>98</v>
      </c>
      <c r="BD852" s="8" t="s">
        <v>98</v>
      </c>
      <c r="BE852" s="4">
        <v>178</v>
      </c>
      <c r="BF852" s="8">
        <v>2603.9</v>
      </c>
      <c r="BG852" s="7" t="s">
        <v>98</v>
      </c>
      <c r="BH852" s="7" t="s">
        <v>98</v>
      </c>
      <c r="BI852" s="7"/>
      <c r="BJ852" s="4"/>
      <c r="BK852" s="8"/>
      <c r="BL852" s="2" t="s">
        <v>2892</v>
      </c>
      <c r="BM852" s="7"/>
      <c r="BN852" s="7"/>
      <c r="BO852" s="4"/>
      <c r="BP852" s="8"/>
      <c r="BQ852" s="4">
        <v>63</v>
      </c>
      <c r="BR852" s="8">
        <v>843.57</v>
      </c>
      <c r="BS852" s="7">
        <v>-1</v>
      </c>
      <c r="BT852" s="7">
        <v>-1</v>
      </c>
      <c r="BU852" s="2" t="s">
        <v>211</v>
      </c>
      <c r="BV852" s="2" t="s">
        <v>352</v>
      </c>
      <c r="BW852" s="2" t="s">
        <v>651</v>
      </c>
      <c r="BX852" s="2" t="s">
        <v>2893</v>
      </c>
      <c r="BY852" s="2" t="s">
        <v>111</v>
      </c>
    </row>
    <row r="853">
      <c r="A853" s="2" t="s">
        <v>2894</v>
      </c>
      <c r="B853" s="2" t="s">
        <v>86</v>
      </c>
      <c r="C853" s="2" t="s">
        <v>2843</v>
      </c>
      <c r="D853" s="2" t="s">
        <v>2002</v>
      </c>
      <c r="E853" s="2" t="s">
        <v>2003</v>
      </c>
      <c r="F853" s="2" t="s">
        <v>2888</v>
      </c>
      <c r="G853" s="2" t="s">
        <v>2888</v>
      </c>
      <c r="H853" s="2" t="s">
        <v>2888</v>
      </c>
      <c r="I853" s="2" t="s">
        <v>2895</v>
      </c>
      <c r="J853" s="2" t="s">
        <v>2006</v>
      </c>
      <c r="K853" s="2" t="s">
        <v>464</v>
      </c>
      <c r="L853" s="3">
        <v>21.12</v>
      </c>
      <c r="M853" s="3">
        <v>22.18</v>
      </c>
      <c r="N853" s="3">
        <v>43.99</v>
      </c>
      <c r="O853" s="2" t="s">
        <v>241</v>
      </c>
      <c r="P853" s="2" t="s">
        <v>215</v>
      </c>
      <c r="Q853" s="2" t="s">
        <v>97</v>
      </c>
      <c r="R853" s="2" t="s">
        <v>98</v>
      </c>
      <c r="S853" s="2" t="s">
        <v>2891</v>
      </c>
      <c r="T853" s="2" t="s">
        <v>98</v>
      </c>
      <c r="U853" s="2" t="s">
        <v>98</v>
      </c>
      <c r="V853" s="2" t="s">
        <v>617</v>
      </c>
      <c r="W853" s="2" t="s">
        <v>2023</v>
      </c>
      <c r="X853" s="2" t="s">
        <v>98</v>
      </c>
      <c r="Y853" s="2" t="s">
        <v>104</v>
      </c>
      <c r="Z853" s="4"/>
      <c r="AA853" s="4">
        <f>=ROUNDDOWN({0},0)</f>
      </c>
      <c r="AB853" s="5"/>
      <c r="AC853" s="2" t="s">
        <v>98</v>
      </c>
      <c r="AD853" s="4"/>
      <c r="AE853" s="4"/>
      <c r="AF853" s="6">
        <v>65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>
        <v>47</v>
      </c>
      <c r="AS853" s="8">
        <v>839.89</v>
      </c>
      <c r="AT853" s="7">
        <v>-1</v>
      </c>
      <c r="AU853" s="7">
        <v>-1</v>
      </c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/>
      <c r="BK853" s="8"/>
      <c r="BL853" s="2" t="s">
        <v>680</v>
      </c>
      <c r="BM853" s="7"/>
      <c r="BN853" s="7"/>
      <c r="BO853" s="4"/>
      <c r="BP853" s="8"/>
      <c r="BQ853" s="4">
        <v>47</v>
      </c>
      <c r="BR853" s="8">
        <v>839.89</v>
      </c>
      <c r="BS853" s="7">
        <v>-1</v>
      </c>
      <c r="BT853" s="7">
        <v>-1</v>
      </c>
      <c r="BU853" s="2" t="s">
        <v>211</v>
      </c>
      <c r="BV853" s="2" t="s">
        <v>352</v>
      </c>
      <c r="BW853" s="2" t="s">
        <v>651</v>
      </c>
      <c r="BX853" s="2" t="s">
        <v>450</v>
      </c>
      <c r="BY853" s="2" t="s">
        <v>111</v>
      </c>
    </row>
    <row r="854">
      <c r="A854" s="2" t="s">
        <v>2896</v>
      </c>
      <c r="B854" s="2" t="s">
        <v>86</v>
      </c>
      <c r="C854" s="2" t="s">
        <v>2843</v>
      </c>
      <c r="D854" s="2" t="s">
        <v>2002</v>
      </c>
      <c r="E854" s="2" t="s">
        <v>2003</v>
      </c>
      <c r="F854" s="2" t="s">
        <v>2888</v>
      </c>
      <c r="G854" s="2" t="s">
        <v>2888</v>
      </c>
      <c r="H854" s="2" t="s">
        <v>2888</v>
      </c>
      <c r="I854" s="2" t="s">
        <v>2889</v>
      </c>
      <c r="J854" s="2" t="s">
        <v>2890</v>
      </c>
      <c r="K854" s="2" t="s">
        <v>2897</v>
      </c>
      <c r="L854" s="3">
        <v>15.75</v>
      </c>
      <c r="M854" s="3">
        <v>16.54</v>
      </c>
      <c r="N854" s="3">
        <v>34.99</v>
      </c>
      <c r="O854" s="2" t="s">
        <v>368</v>
      </c>
      <c r="P854" s="2" t="s">
        <v>215</v>
      </c>
      <c r="Q854" s="2" t="s">
        <v>97</v>
      </c>
      <c r="R854" s="2" t="s">
        <v>98</v>
      </c>
      <c r="S854" s="2" t="s">
        <v>2891</v>
      </c>
      <c r="T854" s="2" t="s">
        <v>98</v>
      </c>
      <c r="U854" s="2" t="s">
        <v>100</v>
      </c>
      <c r="V854" s="2" t="s">
        <v>617</v>
      </c>
      <c r="W854" s="2" t="s">
        <v>2023</v>
      </c>
      <c r="X854" s="2" t="s">
        <v>98</v>
      </c>
      <c r="Y854" s="2" t="s">
        <v>2898</v>
      </c>
      <c r="Z854" s="4"/>
      <c r="AA854" s="4">
        <f>=ROUNDDOWN({0},0)</f>
      </c>
      <c r="AB854" s="5"/>
      <c r="AC854" s="2" t="s">
        <v>98</v>
      </c>
      <c r="AD854" s="4"/>
      <c r="AE854" s="4"/>
      <c r="AF854" s="6"/>
      <c r="AG854" s="6"/>
      <c r="AH854" s="7">
        <v>0.3667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>
        <v>26</v>
      </c>
      <c r="AS854" s="8">
        <v>338.26</v>
      </c>
      <c r="AT854" s="7">
        <v>-1</v>
      </c>
      <c r="AU854" s="7">
        <v>-1</v>
      </c>
      <c r="AV854" s="4" t="s">
        <v>98</v>
      </c>
      <c r="AW854" s="8" t="s">
        <v>98</v>
      </c>
      <c r="AX854" s="4">
        <v>31</v>
      </c>
      <c r="AY854" s="8">
        <v>425.01</v>
      </c>
      <c r="AZ854" s="7" t="s">
        <v>98</v>
      </c>
      <c r="BA854" s="7" t="s">
        <v>98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/>
      <c r="BK854" s="8"/>
      <c r="BL854" s="2" t="s">
        <v>680</v>
      </c>
      <c r="BM854" s="7"/>
      <c r="BN854" s="7"/>
      <c r="BO854" s="4"/>
      <c r="BP854" s="8"/>
      <c r="BQ854" s="4">
        <v>26</v>
      </c>
      <c r="BR854" s="8">
        <v>338.26</v>
      </c>
      <c r="BS854" s="7">
        <v>-1</v>
      </c>
      <c r="BT854" s="7">
        <v>-1</v>
      </c>
      <c r="BU854" s="2" t="s">
        <v>211</v>
      </c>
      <c r="BV854" s="2" t="s">
        <v>352</v>
      </c>
      <c r="BW854" s="2" t="s">
        <v>579</v>
      </c>
      <c r="BX854" s="2" t="s">
        <v>786</v>
      </c>
      <c r="BY854" s="2" t="s">
        <v>111</v>
      </c>
    </row>
    <row r="855">
      <c r="A855" s="2" t="s">
        <v>2899</v>
      </c>
      <c r="B855" s="2" t="s">
        <v>86</v>
      </c>
      <c r="C855" s="2" t="s">
        <v>2843</v>
      </c>
      <c r="D855" s="2" t="s">
        <v>2002</v>
      </c>
      <c r="E855" s="2" t="s">
        <v>2003</v>
      </c>
      <c r="F855" s="2" t="s">
        <v>2888</v>
      </c>
      <c r="G855" s="2" t="s">
        <v>2888</v>
      </c>
      <c r="H855" s="2" t="s">
        <v>2888</v>
      </c>
      <c r="I855" s="2" t="s">
        <v>2895</v>
      </c>
      <c r="J855" s="2" t="s">
        <v>2006</v>
      </c>
      <c r="K855" s="2" t="s">
        <v>2897</v>
      </c>
      <c r="L855" s="3">
        <v>21.12</v>
      </c>
      <c r="M855" s="3">
        <v>22.18</v>
      </c>
      <c r="N855" s="3">
        <v>43.99</v>
      </c>
      <c r="O855" s="2" t="s">
        <v>368</v>
      </c>
      <c r="P855" s="2" t="s">
        <v>215</v>
      </c>
      <c r="Q855" s="2" t="s">
        <v>97</v>
      </c>
      <c r="R855" s="2" t="s">
        <v>98</v>
      </c>
      <c r="S855" s="2" t="s">
        <v>2891</v>
      </c>
      <c r="T855" s="2" t="s">
        <v>98</v>
      </c>
      <c r="U855" s="2" t="s">
        <v>100</v>
      </c>
      <c r="V855" s="2" t="s">
        <v>617</v>
      </c>
      <c r="W855" s="2" t="s">
        <v>2023</v>
      </c>
      <c r="X855" s="2" t="s">
        <v>98</v>
      </c>
      <c r="Y855" s="2" t="s">
        <v>2898</v>
      </c>
      <c r="Z855" s="4"/>
      <c r="AA855" s="4">
        <f>=ROUNDDOWN({0},0)</f>
      </c>
      <c r="AB855" s="5"/>
      <c r="AC855" s="2" t="s">
        <v>98</v>
      </c>
      <c r="AD855" s="4"/>
      <c r="AE855" s="4"/>
      <c r="AF855" s="6"/>
      <c r="AG855" s="6"/>
      <c r="AH855" s="7">
        <v>0.3667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>
        <v>5</v>
      </c>
      <c r="AS855" s="8">
        <v>86.75</v>
      </c>
      <c r="AT855" s="7">
        <v>-1</v>
      </c>
      <c r="AU855" s="7">
        <v>-1</v>
      </c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/>
      <c r="BK855" s="8"/>
      <c r="BL855" s="2" t="s">
        <v>2900</v>
      </c>
      <c r="BM855" s="7"/>
      <c r="BN855" s="7"/>
      <c r="BO855" s="4"/>
      <c r="BP855" s="8"/>
      <c r="BQ855" s="4">
        <v>5</v>
      </c>
      <c r="BR855" s="8">
        <v>86.75</v>
      </c>
      <c r="BS855" s="7">
        <v>-1</v>
      </c>
      <c r="BT855" s="7">
        <v>-1</v>
      </c>
      <c r="BU855" s="2" t="s">
        <v>211</v>
      </c>
      <c r="BV855" s="2" t="s">
        <v>352</v>
      </c>
      <c r="BW855" s="2" t="s">
        <v>579</v>
      </c>
      <c r="BX855" s="2" t="s">
        <v>728</v>
      </c>
      <c r="BY855" s="2" t="s">
        <v>111</v>
      </c>
    </row>
    <row r="856">
      <c r="A856" s="2" t="s">
        <v>2901</v>
      </c>
      <c r="B856" s="2" t="s">
        <v>86</v>
      </c>
      <c r="C856" s="2" t="s">
        <v>2843</v>
      </c>
      <c r="D856" s="2" t="s">
        <v>2002</v>
      </c>
      <c r="E856" s="2" t="s">
        <v>2003</v>
      </c>
      <c r="F856" s="2" t="s">
        <v>2888</v>
      </c>
      <c r="G856" s="2" t="s">
        <v>2888</v>
      </c>
      <c r="H856" s="2" t="s">
        <v>2888</v>
      </c>
      <c r="I856" s="2" t="s">
        <v>2889</v>
      </c>
      <c r="J856" s="2" t="s">
        <v>2890</v>
      </c>
      <c r="K856" s="2" t="s">
        <v>557</v>
      </c>
      <c r="L856" s="3">
        <v>15.75</v>
      </c>
      <c r="M856" s="3">
        <v>16.54</v>
      </c>
      <c r="N856" s="3">
        <v>34.99</v>
      </c>
      <c r="O856" s="2" t="s">
        <v>241</v>
      </c>
      <c r="P856" s="2" t="s">
        <v>215</v>
      </c>
      <c r="Q856" s="2" t="s">
        <v>97</v>
      </c>
      <c r="R856" s="2" t="s">
        <v>98</v>
      </c>
      <c r="S856" s="2" t="s">
        <v>2891</v>
      </c>
      <c r="T856" s="2" t="s">
        <v>98</v>
      </c>
      <c r="U856" s="2" t="s">
        <v>98</v>
      </c>
      <c r="V856" s="2" t="s">
        <v>617</v>
      </c>
      <c r="W856" s="2" t="s">
        <v>2023</v>
      </c>
      <c r="X856" s="2" t="s">
        <v>98</v>
      </c>
      <c r="Y856" s="2" t="s">
        <v>104</v>
      </c>
      <c r="Z856" s="4"/>
      <c r="AA856" s="4">
        <f>=ROUNDDOWN({0},0)</f>
      </c>
      <c r="AB856" s="5">
        <v>0.2</v>
      </c>
      <c r="AC856" s="2" t="s">
        <v>98</v>
      </c>
      <c r="AD856" s="4"/>
      <c r="AE856" s="4"/>
      <c r="AF856" s="6">
        <v>65</v>
      </c>
      <c r="AG856" s="6"/>
      <c r="AH856" s="7">
        <v>0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>
        <v>37</v>
      </c>
      <c r="AS856" s="8">
        <v>495.43</v>
      </c>
      <c r="AT856" s="7">
        <v>-1</v>
      </c>
      <c r="AU856" s="7">
        <v>-1</v>
      </c>
      <c r="AV856" s="4"/>
      <c r="AW856" s="8"/>
      <c r="AX856" s="4">
        <v>37</v>
      </c>
      <c r="AY856" s="8">
        <v>495.43</v>
      </c>
      <c r="AZ856" s="7">
        <v>-1</v>
      </c>
      <c r="BA856" s="7">
        <v>-1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/>
      <c r="BK856" s="8"/>
      <c r="BL856" s="2" t="s">
        <v>2892</v>
      </c>
      <c r="BM856" s="7"/>
      <c r="BN856" s="7"/>
      <c r="BO856" s="4"/>
      <c r="BP856" s="8"/>
      <c r="BQ856" s="4">
        <v>37</v>
      </c>
      <c r="BR856" s="8">
        <v>495.43</v>
      </c>
      <c r="BS856" s="7">
        <v>-1</v>
      </c>
      <c r="BT856" s="7">
        <v>-1</v>
      </c>
      <c r="BU856" s="2" t="s">
        <v>211</v>
      </c>
      <c r="BV856" s="2" t="s">
        <v>352</v>
      </c>
      <c r="BW856" s="2" t="s">
        <v>651</v>
      </c>
      <c r="BX856" s="2" t="s">
        <v>427</v>
      </c>
      <c r="BY856" s="2" t="s">
        <v>354</v>
      </c>
    </row>
    <row r="857">
      <c r="A857" s="2" t="s">
        <v>2902</v>
      </c>
      <c r="B857" s="2" t="s">
        <v>86</v>
      </c>
      <c r="C857" s="2" t="s">
        <v>2843</v>
      </c>
      <c r="D857" s="2" t="s">
        <v>2002</v>
      </c>
      <c r="E857" s="2" t="s">
        <v>2003</v>
      </c>
      <c r="F857" s="2" t="s">
        <v>2903</v>
      </c>
      <c r="G857" s="2" t="s">
        <v>2903</v>
      </c>
      <c r="H857" s="2" t="s">
        <v>98</v>
      </c>
      <c r="I857" s="2" t="s">
        <v>2904</v>
      </c>
      <c r="J857" s="2" t="s">
        <v>2006</v>
      </c>
      <c r="K857" s="2" t="s">
        <v>464</v>
      </c>
      <c r="L857" s="3">
        <v>21.12</v>
      </c>
      <c r="M857" s="3">
        <v>22.18</v>
      </c>
      <c r="N857" s="3">
        <v>43.99</v>
      </c>
      <c r="O857" s="2" t="s">
        <v>368</v>
      </c>
      <c r="P857" s="2" t="s">
        <v>215</v>
      </c>
      <c r="Q857" s="2" t="s">
        <v>97</v>
      </c>
      <c r="R857" s="2" t="s">
        <v>98</v>
      </c>
      <c r="S857" s="2" t="s">
        <v>2905</v>
      </c>
      <c r="T857" s="2" t="s">
        <v>98</v>
      </c>
      <c r="U857" s="2" t="s">
        <v>98</v>
      </c>
      <c r="V857" s="2" t="s">
        <v>2333</v>
      </c>
      <c r="W857" s="2" t="s">
        <v>2023</v>
      </c>
      <c r="X857" s="2" t="s">
        <v>98</v>
      </c>
      <c r="Y857" s="2" t="s">
        <v>104</v>
      </c>
      <c r="Z857" s="4"/>
      <c r="AA857" s="4">
        <f>=ROUNDDOWN({0},0)</f>
      </c>
      <c r="AB857" s="5"/>
      <c r="AC857" s="2" t="s">
        <v>98</v>
      </c>
      <c r="AD857" s="4"/>
      <c r="AE857" s="4"/>
      <c r="AF857" s="6"/>
      <c r="AG857" s="6"/>
      <c r="AH857" s="7">
        <v>0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>
        <v>24</v>
      </c>
      <c r="AS857" s="8">
        <v>428.88</v>
      </c>
      <c r="AT857" s="7">
        <v>-1</v>
      </c>
      <c r="AU857" s="7">
        <v>-1</v>
      </c>
      <c r="AV857" s="4"/>
      <c r="AW857" s="8"/>
      <c r="AX857" s="4">
        <v>24</v>
      </c>
      <c r="AY857" s="8">
        <v>428.88</v>
      </c>
      <c r="AZ857" s="7">
        <v>-1</v>
      </c>
      <c r="BA857" s="7">
        <v>-1</v>
      </c>
      <c r="BB857" s="7"/>
      <c r="BC857" s="4" t="s">
        <v>98</v>
      </c>
      <c r="BD857" s="8" t="s">
        <v>98</v>
      </c>
      <c r="BE857" s="4">
        <v>66</v>
      </c>
      <c r="BF857" s="8">
        <v>1179.42</v>
      </c>
      <c r="BG857" s="7" t="s">
        <v>98</v>
      </c>
      <c r="BH857" s="7" t="s">
        <v>98</v>
      </c>
      <c r="BI857" s="7"/>
      <c r="BJ857" s="4"/>
      <c r="BK857" s="8"/>
      <c r="BL857" s="2" t="s">
        <v>2035</v>
      </c>
      <c r="BM857" s="7"/>
      <c r="BN857" s="7"/>
      <c r="BO857" s="4"/>
      <c r="BP857" s="8"/>
      <c r="BQ857" s="4">
        <v>24</v>
      </c>
      <c r="BR857" s="8">
        <v>428.88</v>
      </c>
      <c r="BS857" s="7">
        <v>-1</v>
      </c>
      <c r="BT857" s="7">
        <v>-1</v>
      </c>
      <c r="BU857" s="2" t="s">
        <v>211</v>
      </c>
      <c r="BV857" s="2" t="s">
        <v>352</v>
      </c>
      <c r="BW857" s="2" t="s">
        <v>651</v>
      </c>
      <c r="BX857" s="2" t="s">
        <v>2893</v>
      </c>
      <c r="BY857" s="2" t="s">
        <v>111</v>
      </c>
    </row>
    <row r="858">
      <c r="A858" s="2" t="s">
        <v>2906</v>
      </c>
      <c r="B858" s="2" t="s">
        <v>86</v>
      </c>
      <c r="C858" s="2" t="s">
        <v>2843</v>
      </c>
      <c r="D858" s="2" t="s">
        <v>2002</v>
      </c>
      <c r="E858" s="2" t="s">
        <v>2003</v>
      </c>
      <c r="F858" s="2" t="s">
        <v>2903</v>
      </c>
      <c r="G858" s="2" t="s">
        <v>2903</v>
      </c>
      <c r="H858" s="2" t="s">
        <v>98</v>
      </c>
      <c r="I858" s="2" t="s">
        <v>2904</v>
      </c>
      <c r="J858" s="2" t="s">
        <v>2006</v>
      </c>
      <c r="K858" s="2" t="s">
        <v>557</v>
      </c>
      <c r="L858" s="3">
        <v>21.12</v>
      </c>
      <c r="M858" s="3">
        <v>22.18</v>
      </c>
      <c r="N858" s="3">
        <v>43.99</v>
      </c>
      <c r="O858" s="2" t="s">
        <v>368</v>
      </c>
      <c r="P858" s="2" t="s">
        <v>215</v>
      </c>
      <c r="Q858" s="2" t="s">
        <v>97</v>
      </c>
      <c r="R858" s="2" t="s">
        <v>98</v>
      </c>
      <c r="S858" s="2" t="s">
        <v>2905</v>
      </c>
      <c r="T858" s="2" t="s">
        <v>98</v>
      </c>
      <c r="U858" s="2" t="s">
        <v>98</v>
      </c>
      <c r="V858" s="2" t="s">
        <v>2333</v>
      </c>
      <c r="W858" s="2" t="s">
        <v>2023</v>
      </c>
      <c r="X858" s="2" t="s">
        <v>98</v>
      </c>
      <c r="Y858" s="2" t="s">
        <v>104</v>
      </c>
      <c r="Z858" s="4"/>
      <c r="AA858" s="4">
        <f>=ROUNDDOWN({0},0)</f>
      </c>
      <c r="AB858" s="5"/>
      <c r="AC858" s="2" t="s">
        <v>98</v>
      </c>
      <c r="AD858" s="4"/>
      <c r="AE858" s="4"/>
      <c r="AF858" s="6">
        <v>65</v>
      </c>
      <c r="AG858" s="6"/>
      <c r="AH858" s="7">
        <v>0.3667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>
        <v>42</v>
      </c>
      <c r="AS858" s="8">
        <v>750.54</v>
      </c>
      <c r="AT858" s="7">
        <v>-1</v>
      </c>
      <c r="AU858" s="7">
        <v>-1</v>
      </c>
      <c r="AV858" s="4"/>
      <c r="AW858" s="8"/>
      <c r="AX858" s="4">
        <v>42</v>
      </c>
      <c r="AY858" s="8">
        <v>750.54</v>
      </c>
      <c r="AZ858" s="7">
        <v>-1</v>
      </c>
      <c r="BA858" s="7">
        <v>-1</v>
      </c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/>
      <c r="BK858" s="8"/>
      <c r="BL858" s="2" t="s">
        <v>2907</v>
      </c>
      <c r="BM858" s="7"/>
      <c r="BN858" s="7"/>
      <c r="BO858" s="4"/>
      <c r="BP858" s="8"/>
      <c r="BQ858" s="4">
        <v>42</v>
      </c>
      <c r="BR858" s="8">
        <v>750.54</v>
      </c>
      <c r="BS858" s="7">
        <v>-1</v>
      </c>
      <c r="BT858" s="7">
        <v>-1</v>
      </c>
      <c r="BU858" s="2" t="s">
        <v>211</v>
      </c>
      <c r="BV858" s="2" t="s">
        <v>352</v>
      </c>
      <c r="BW858" s="2" t="s">
        <v>651</v>
      </c>
      <c r="BX858" s="2" t="s">
        <v>443</v>
      </c>
      <c r="BY858" s="2" t="s">
        <v>111</v>
      </c>
    </row>
    <row r="859">
      <c r="A859" s="2" t="s">
        <v>2908</v>
      </c>
      <c r="B859" s="2" t="s">
        <v>86</v>
      </c>
      <c r="C859" s="2" t="s">
        <v>2909</v>
      </c>
      <c r="D859" s="2" t="s">
        <v>88</v>
      </c>
      <c r="E859" s="2" t="s">
        <v>1597</v>
      </c>
      <c r="F859" s="2" t="s">
        <v>2910</v>
      </c>
      <c r="G859" s="2" t="s">
        <v>2910</v>
      </c>
      <c r="H859" s="2" t="s">
        <v>2910</v>
      </c>
      <c r="I859" s="2" t="s">
        <v>2911</v>
      </c>
      <c r="J859" s="2" t="s">
        <v>2912</v>
      </c>
      <c r="K859" s="2" t="s">
        <v>458</v>
      </c>
      <c r="L859" s="3">
        <v>29.25</v>
      </c>
      <c r="M859" s="3">
        <v>30.71</v>
      </c>
      <c r="N859" s="3">
        <v>66.99</v>
      </c>
      <c r="O859" s="2" t="s">
        <v>368</v>
      </c>
      <c r="P859" s="2" t="s">
        <v>215</v>
      </c>
      <c r="Q859" s="2" t="s">
        <v>97</v>
      </c>
      <c r="R859" s="2" t="s">
        <v>98</v>
      </c>
      <c r="S859" s="2" t="s">
        <v>2913</v>
      </c>
      <c r="T859" s="2" t="s">
        <v>878</v>
      </c>
      <c r="U859" s="2" t="s">
        <v>1494</v>
      </c>
      <c r="V859" s="2" t="s">
        <v>617</v>
      </c>
      <c r="W859" s="2" t="s">
        <v>102</v>
      </c>
      <c r="X859" s="2" t="s">
        <v>335</v>
      </c>
      <c r="Y859" s="2" t="s">
        <v>2914</v>
      </c>
      <c r="Z859" s="4"/>
      <c r="AA859" s="4">
        <f>=ROUNDDOWN({0},0)</f>
      </c>
      <c r="AB859" s="5">
        <v>0.5</v>
      </c>
      <c r="AC859" s="2" t="s">
        <v>98</v>
      </c>
      <c r="AD859" s="4"/>
      <c r="AE859" s="4"/>
      <c r="AF859" s="6">
        <v>65</v>
      </c>
      <c r="AG859" s="6"/>
      <c r="AH859" s="7">
        <v>0.9111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46</v>
      </c>
      <c r="AQ859" s="8">
        <v>741.98</v>
      </c>
      <c r="AR859" s="4"/>
      <c r="AS859" s="8"/>
      <c r="AT859" s="7"/>
      <c r="AU859" s="7"/>
      <c r="AV859" s="4">
        <v>46</v>
      </c>
      <c r="AW859" s="8">
        <v>741.98</v>
      </c>
      <c r="AX859" s="4"/>
      <c r="AY859" s="8"/>
      <c r="AZ859" s="7"/>
      <c r="BA859" s="7"/>
      <c r="BB859" s="7">
        <v>1</v>
      </c>
      <c r="BC859" s="4">
        <v>106</v>
      </c>
      <c r="BD859" s="8">
        <v>1709.78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>
        <v>0.434</v>
      </c>
      <c r="BJ859" s="4">
        <v>117</v>
      </c>
      <c r="BK859" s="8">
        <v>2266.12</v>
      </c>
      <c r="BL859" s="2" t="s">
        <v>2915</v>
      </c>
      <c r="BM859" s="7">
        <v>0.3932</v>
      </c>
      <c r="BN859" s="7">
        <v>0.3274</v>
      </c>
      <c r="BO859" s="4">
        <v>46</v>
      </c>
      <c r="BP859" s="8">
        <v>741.98</v>
      </c>
      <c r="BQ859" s="4"/>
      <c r="BR859" s="8"/>
      <c r="BS859" s="7"/>
      <c r="BT859" s="7"/>
      <c r="BU859" s="2" t="s">
        <v>211</v>
      </c>
      <c r="BV859" s="2" t="s">
        <v>352</v>
      </c>
      <c r="BW859" s="2" t="s">
        <v>606</v>
      </c>
      <c r="BX859" s="2" t="s">
        <v>2916</v>
      </c>
      <c r="BY859" s="2" t="s">
        <v>354</v>
      </c>
    </row>
    <row r="860">
      <c r="A860" s="2" t="s">
        <v>2917</v>
      </c>
      <c r="B860" s="2" t="s">
        <v>86</v>
      </c>
      <c r="C860" s="2" t="s">
        <v>2909</v>
      </c>
      <c r="D860" s="2" t="s">
        <v>88</v>
      </c>
      <c r="E860" s="2" t="s">
        <v>1597</v>
      </c>
      <c r="F860" s="2" t="s">
        <v>2910</v>
      </c>
      <c r="G860" s="2" t="s">
        <v>2910</v>
      </c>
      <c r="H860" s="2" t="s">
        <v>2910</v>
      </c>
      <c r="I860" s="2" t="s">
        <v>2911</v>
      </c>
      <c r="J860" s="2" t="s">
        <v>2912</v>
      </c>
      <c r="K860" s="2" t="s">
        <v>997</v>
      </c>
      <c r="L860" s="3">
        <v>29.25</v>
      </c>
      <c r="M860" s="3">
        <v>30.71</v>
      </c>
      <c r="N860" s="3">
        <v>66.99</v>
      </c>
      <c r="O860" s="2" t="s">
        <v>241</v>
      </c>
      <c r="P860" s="2" t="s">
        <v>215</v>
      </c>
      <c r="Q860" s="2" t="s">
        <v>97</v>
      </c>
      <c r="R860" s="2" t="s">
        <v>98</v>
      </c>
      <c r="S860" s="2" t="s">
        <v>2918</v>
      </c>
      <c r="T860" s="2" t="s">
        <v>878</v>
      </c>
      <c r="U860" s="2" t="s">
        <v>1494</v>
      </c>
      <c r="V860" s="2" t="s">
        <v>617</v>
      </c>
      <c r="W860" s="2" t="s">
        <v>102</v>
      </c>
      <c r="X860" s="2" t="s">
        <v>335</v>
      </c>
      <c r="Y860" s="2" t="s">
        <v>2914</v>
      </c>
      <c r="Z860" s="4"/>
      <c r="AA860" s="4">
        <f>=ROUNDDOWN({0},0)</f>
      </c>
      <c r="AB860" s="5">
        <v>0.5</v>
      </c>
      <c r="AC860" s="2" t="s">
        <v>98</v>
      </c>
      <c r="AD860" s="4"/>
      <c r="AE860" s="4"/>
      <c r="AF860" s="6">
        <v>65</v>
      </c>
      <c r="AG860" s="6"/>
      <c r="AH860" s="7">
        <v>0.9111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41</v>
      </c>
      <c r="AQ860" s="8">
        <v>661.33</v>
      </c>
      <c r="AR860" s="4"/>
      <c r="AS860" s="8"/>
      <c r="AT860" s="7"/>
      <c r="AU860" s="7"/>
      <c r="AV860" s="4">
        <v>41</v>
      </c>
      <c r="AW860" s="8">
        <v>661.33</v>
      </c>
      <c r="AX860" s="4"/>
      <c r="AY860" s="8"/>
      <c r="AZ860" s="7"/>
      <c r="BA860" s="7"/>
      <c r="BB860" s="7">
        <v>1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>
        <v>0.3868</v>
      </c>
      <c r="BJ860" s="4">
        <v>117</v>
      </c>
      <c r="BK860" s="8">
        <v>2424.89</v>
      </c>
      <c r="BL860" s="2" t="s">
        <v>2919</v>
      </c>
      <c r="BM860" s="7">
        <v>0.3504</v>
      </c>
      <c r="BN860" s="7">
        <v>0.2727</v>
      </c>
      <c r="BO860" s="4">
        <v>41</v>
      </c>
      <c r="BP860" s="8">
        <v>661.33</v>
      </c>
      <c r="BQ860" s="4"/>
      <c r="BR860" s="8"/>
      <c r="BS860" s="7"/>
      <c r="BT860" s="7"/>
      <c r="BU860" s="2" t="s">
        <v>211</v>
      </c>
      <c r="BV860" s="2" t="s">
        <v>352</v>
      </c>
      <c r="BW860" s="2" t="s">
        <v>606</v>
      </c>
      <c r="BX860" s="2" t="s">
        <v>2920</v>
      </c>
      <c r="BY860" s="2" t="s">
        <v>354</v>
      </c>
    </row>
    <row r="861">
      <c r="A861" s="2" t="s">
        <v>2921</v>
      </c>
      <c r="B861" s="2" t="s">
        <v>86</v>
      </c>
      <c r="C861" s="2" t="s">
        <v>2909</v>
      </c>
      <c r="D861" s="2" t="s">
        <v>88</v>
      </c>
      <c r="E861" s="2" t="s">
        <v>1597</v>
      </c>
      <c r="F861" s="2" t="s">
        <v>2910</v>
      </c>
      <c r="G861" s="2" t="s">
        <v>2910</v>
      </c>
      <c r="H861" s="2" t="s">
        <v>2910</v>
      </c>
      <c r="I861" s="2" t="s">
        <v>2911</v>
      </c>
      <c r="J861" s="2" t="s">
        <v>2912</v>
      </c>
      <c r="K861" s="2" t="s">
        <v>464</v>
      </c>
      <c r="L861" s="3">
        <v>29.25</v>
      </c>
      <c r="M861" s="3">
        <v>30.71</v>
      </c>
      <c r="N861" s="3">
        <v>66.99</v>
      </c>
      <c r="O861" s="2" t="s">
        <v>368</v>
      </c>
      <c r="P861" s="2" t="s">
        <v>215</v>
      </c>
      <c r="Q861" s="2" t="s">
        <v>97</v>
      </c>
      <c r="R861" s="2" t="s">
        <v>98</v>
      </c>
      <c r="S861" s="2" t="s">
        <v>2922</v>
      </c>
      <c r="T861" s="2" t="s">
        <v>878</v>
      </c>
      <c r="U861" s="2" t="s">
        <v>1494</v>
      </c>
      <c r="V861" s="2" t="s">
        <v>617</v>
      </c>
      <c r="W861" s="2" t="s">
        <v>102</v>
      </c>
      <c r="X861" s="2" t="s">
        <v>335</v>
      </c>
      <c r="Y861" s="2" t="s">
        <v>2914</v>
      </c>
      <c r="Z861" s="4"/>
      <c r="AA861" s="4">
        <f>=ROUNDDOWN({0},0)</f>
      </c>
      <c r="AB861" s="5">
        <v>1</v>
      </c>
      <c r="AC861" s="2" t="s">
        <v>98</v>
      </c>
      <c r="AD861" s="4"/>
      <c r="AE861" s="4"/>
      <c r="AF861" s="6">
        <v>65</v>
      </c>
      <c r="AG861" s="6"/>
      <c r="AH861" s="7">
        <v>0.9111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19</v>
      </c>
      <c r="AQ861" s="8">
        <v>306.47</v>
      </c>
      <c r="AR861" s="4"/>
      <c r="AS861" s="8"/>
      <c r="AT861" s="7"/>
      <c r="AU861" s="7"/>
      <c r="AV861" s="4">
        <v>19</v>
      </c>
      <c r="AW861" s="8">
        <v>306.47</v>
      </c>
      <c r="AX861" s="4"/>
      <c r="AY861" s="8"/>
      <c r="AZ861" s="7"/>
      <c r="BA861" s="7"/>
      <c r="BB861" s="7">
        <v>1</v>
      </c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>
        <v>0.1792</v>
      </c>
      <c r="BJ861" s="4">
        <v>51</v>
      </c>
      <c r="BK861" s="8">
        <v>1012.3</v>
      </c>
      <c r="BL861" s="2" t="s">
        <v>2923</v>
      </c>
      <c r="BM861" s="7">
        <v>0.3725</v>
      </c>
      <c r="BN861" s="7">
        <v>0.3027</v>
      </c>
      <c r="BO861" s="4">
        <v>19</v>
      </c>
      <c r="BP861" s="8">
        <v>306.47</v>
      </c>
      <c r="BQ861" s="4"/>
      <c r="BR861" s="8"/>
      <c r="BS861" s="7"/>
      <c r="BT861" s="7"/>
      <c r="BU861" s="2" t="s">
        <v>211</v>
      </c>
      <c r="BV861" s="2" t="s">
        <v>352</v>
      </c>
      <c r="BW861" s="2" t="s">
        <v>606</v>
      </c>
      <c r="BX861" s="2" t="s">
        <v>2924</v>
      </c>
      <c r="BY861" s="2" t="s">
        <v>354</v>
      </c>
    </row>
    <row r="862">
      <c r="A862" s="2" t="s">
        <v>2925</v>
      </c>
      <c r="B862" s="2" t="s">
        <v>86</v>
      </c>
      <c r="C862" s="2" t="s">
        <v>2909</v>
      </c>
      <c r="D862" s="2" t="s">
        <v>88</v>
      </c>
      <c r="E862" s="2" t="s">
        <v>1597</v>
      </c>
      <c r="F862" s="2" t="s">
        <v>2926</v>
      </c>
      <c r="G862" s="2" t="s">
        <v>2926</v>
      </c>
      <c r="H862" s="2" t="s">
        <v>2926</v>
      </c>
      <c r="I862" s="2" t="s">
        <v>2927</v>
      </c>
      <c r="J862" s="2" t="s">
        <v>2912</v>
      </c>
      <c r="K862" s="2" t="s">
        <v>199</v>
      </c>
      <c r="L862" s="3">
        <v>28.5</v>
      </c>
      <c r="M862" s="3">
        <v>29.93</v>
      </c>
      <c r="N862" s="3">
        <v>66.99</v>
      </c>
      <c r="O862" s="2" t="s">
        <v>368</v>
      </c>
      <c r="P862" s="2" t="s">
        <v>215</v>
      </c>
      <c r="Q862" s="2" t="s">
        <v>97</v>
      </c>
      <c r="R862" s="2" t="s">
        <v>98</v>
      </c>
      <c r="S862" s="2" t="s">
        <v>2928</v>
      </c>
      <c r="T862" s="2" t="s">
        <v>98</v>
      </c>
      <c r="U862" s="2" t="s">
        <v>1494</v>
      </c>
      <c r="V862" s="2" t="s">
        <v>617</v>
      </c>
      <c r="W862" s="2" t="s">
        <v>102</v>
      </c>
      <c r="X862" s="2" t="s">
        <v>335</v>
      </c>
      <c r="Y862" s="2" t="s">
        <v>2914</v>
      </c>
      <c r="Z862" s="4"/>
      <c r="AA862" s="4">
        <f>=ROUNDDOWN({0},0)</f>
      </c>
      <c r="AB862" s="5">
        <v>6.9</v>
      </c>
      <c r="AC862" s="2" t="s">
        <v>98</v>
      </c>
      <c r="AD862" s="4"/>
      <c r="AE862" s="4"/>
      <c r="AF862" s="6">
        <v>65</v>
      </c>
      <c r="AG862" s="6"/>
      <c r="AH862" s="7">
        <v>0.9111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33</v>
      </c>
      <c r="AQ862" s="8">
        <v>518.43</v>
      </c>
      <c r="AR862" s="4"/>
      <c r="AS862" s="8"/>
      <c r="AT862" s="7"/>
      <c r="AU862" s="7"/>
      <c r="AV862" s="4">
        <v>33</v>
      </c>
      <c r="AW862" s="8">
        <v>518.43</v>
      </c>
      <c r="AX862" s="4"/>
      <c r="AY862" s="8"/>
      <c r="AZ862" s="7"/>
      <c r="BA862" s="7"/>
      <c r="BB862" s="7">
        <v>1</v>
      </c>
      <c r="BC862" s="4">
        <v>71</v>
      </c>
      <c r="BD862" s="8">
        <v>1115.41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>
        <v>0.4648</v>
      </c>
      <c r="BJ862" s="4">
        <v>77</v>
      </c>
      <c r="BK862" s="8">
        <v>1426.8</v>
      </c>
      <c r="BL862" s="2" t="s">
        <v>2929</v>
      </c>
      <c r="BM862" s="7">
        <v>0.4286</v>
      </c>
      <c r="BN862" s="7">
        <v>0.3634</v>
      </c>
      <c r="BO862" s="4">
        <v>33</v>
      </c>
      <c r="BP862" s="8">
        <v>518.43</v>
      </c>
      <c r="BQ862" s="4"/>
      <c r="BR862" s="8"/>
      <c r="BS862" s="7"/>
      <c r="BT862" s="7"/>
      <c r="BU862" s="2" t="s">
        <v>211</v>
      </c>
      <c r="BV862" s="2" t="s">
        <v>352</v>
      </c>
      <c r="BW862" s="2" t="s">
        <v>606</v>
      </c>
      <c r="BX862" s="2" t="s">
        <v>1002</v>
      </c>
      <c r="BY862" s="2" t="s">
        <v>354</v>
      </c>
    </row>
    <row r="863">
      <c r="A863" s="2" t="s">
        <v>2930</v>
      </c>
      <c r="B863" s="2" t="s">
        <v>86</v>
      </c>
      <c r="C863" s="2" t="s">
        <v>2909</v>
      </c>
      <c r="D863" s="2" t="s">
        <v>88</v>
      </c>
      <c r="E863" s="2" t="s">
        <v>1597</v>
      </c>
      <c r="F863" s="2" t="s">
        <v>2926</v>
      </c>
      <c r="G863" s="2" t="s">
        <v>2926</v>
      </c>
      <c r="H863" s="2" t="s">
        <v>2926</v>
      </c>
      <c r="I863" s="2" t="s">
        <v>2927</v>
      </c>
      <c r="J863" s="2" t="s">
        <v>2912</v>
      </c>
      <c r="K863" s="2" t="s">
        <v>400</v>
      </c>
      <c r="L863" s="3">
        <v>28.5</v>
      </c>
      <c r="M863" s="3">
        <v>29.93</v>
      </c>
      <c r="N863" s="3">
        <v>66.99</v>
      </c>
      <c r="O863" s="2" t="s">
        <v>368</v>
      </c>
      <c r="P863" s="2" t="s">
        <v>215</v>
      </c>
      <c r="Q863" s="2" t="s">
        <v>97</v>
      </c>
      <c r="R863" s="2" t="s">
        <v>98</v>
      </c>
      <c r="S863" s="2" t="s">
        <v>2931</v>
      </c>
      <c r="T863" s="2" t="s">
        <v>98</v>
      </c>
      <c r="U863" s="2" t="s">
        <v>1494</v>
      </c>
      <c r="V863" s="2" t="s">
        <v>617</v>
      </c>
      <c r="W863" s="2" t="s">
        <v>102</v>
      </c>
      <c r="X863" s="2" t="s">
        <v>335</v>
      </c>
      <c r="Y863" s="2" t="s">
        <v>2914</v>
      </c>
      <c r="Z863" s="4"/>
      <c r="AA863" s="4">
        <f>=ROUNDDOWN({0},0)</f>
      </c>
      <c r="AB863" s="5">
        <v>2.7</v>
      </c>
      <c r="AC863" s="2" t="s">
        <v>98</v>
      </c>
      <c r="AD863" s="4"/>
      <c r="AE863" s="4"/>
      <c r="AF863" s="6">
        <v>65</v>
      </c>
      <c r="AG863" s="6"/>
      <c r="AH863" s="7">
        <v>0.9111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26</v>
      </c>
      <c r="AQ863" s="8">
        <v>408.46</v>
      </c>
      <c r="AR863" s="4"/>
      <c r="AS863" s="8"/>
      <c r="AT863" s="7"/>
      <c r="AU863" s="7"/>
      <c r="AV863" s="4">
        <v>26</v>
      </c>
      <c r="AW863" s="8">
        <v>408.46</v>
      </c>
      <c r="AX863" s="4"/>
      <c r="AY863" s="8"/>
      <c r="AZ863" s="7"/>
      <c r="BA863" s="7"/>
      <c r="BB863" s="7">
        <v>1</v>
      </c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>
        <v>0.3662</v>
      </c>
      <c r="BJ863" s="4">
        <v>71</v>
      </c>
      <c r="BK863" s="8">
        <v>1687.7</v>
      </c>
      <c r="BL863" s="2" t="s">
        <v>2932</v>
      </c>
      <c r="BM863" s="7">
        <v>0.3662</v>
      </c>
      <c r="BN863" s="7">
        <v>0.242</v>
      </c>
      <c r="BO863" s="4">
        <v>26</v>
      </c>
      <c r="BP863" s="8">
        <v>408.46</v>
      </c>
      <c r="BQ863" s="4"/>
      <c r="BR863" s="8"/>
      <c r="BS863" s="7"/>
      <c r="BT863" s="7"/>
      <c r="BU863" s="2" t="s">
        <v>211</v>
      </c>
      <c r="BV863" s="2" t="s">
        <v>352</v>
      </c>
      <c r="BW863" s="2" t="s">
        <v>606</v>
      </c>
      <c r="BX863" s="2" t="s">
        <v>2933</v>
      </c>
      <c r="BY863" s="2" t="s">
        <v>354</v>
      </c>
    </row>
    <row r="864">
      <c r="A864" s="2" t="s">
        <v>2934</v>
      </c>
      <c r="B864" s="2" t="s">
        <v>86</v>
      </c>
      <c r="C864" s="2" t="s">
        <v>2909</v>
      </c>
      <c r="D864" s="2" t="s">
        <v>88</v>
      </c>
      <c r="E864" s="2" t="s">
        <v>1597</v>
      </c>
      <c r="F864" s="2" t="s">
        <v>2926</v>
      </c>
      <c r="G864" s="2" t="s">
        <v>2926</v>
      </c>
      <c r="H864" s="2" t="s">
        <v>2926</v>
      </c>
      <c r="I864" s="2" t="s">
        <v>2927</v>
      </c>
      <c r="J864" s="2" t="s">
        <v>2912</v>
      </c>
      <c r="K864" s="2" t="s">
        <v>997</v>
      </c>
      <c r="L864" s="3">
        <v>28.5</v>
      </c>
      <c r="M864" s="3">
        <v>29.93</v>
      </c>
      <c r="N864" s="3">
        <v>66.99</v>
      </c>
      <c r="O864" s="2" t="s">
        <v>368</v>
      </c>
      <c r="P864" s="2" t="s">
        <v>215</v>
      </c>
      <c r="Q864" s="2" t="s">
        <v>97</v>
      </c>
      <c r="R864" s="2" t="s">
        <v>98</v>
      </c>
      <c r="S864" s="2" t="s">
        <v>2935</v>
      </c>
      <c r="T864" s="2" t="s">
        <v>98</v>
      </c>
      <c r="U864" s="2" t="s">
        <v>1494</v>
      </c>
      <c r="V864" s="2" t="s">
        <v>617</v>
      </c>
      <c r="W864" s="2" t="s">
        <v>102</v>
      </c>
      <c r="X864" s="2" t="s">
        <v>335</v>
      </c>
      <c r="Y864" s="2" t="s">
        <v>2914</v>
      </c>
      <c r="Z864" s="4">
        <v>4</v>
      </c>
      <c r="AA864" s="4">
        <f>=ROUNDDOWN(5,0)</f>
      </c>
      <c r="AB864" s="5">
        <v>0.8</v>
      </c>
      <c r="AC864" s="2" t="s">
        <v>98</v>
      </c>
      <c r="AD864" s="4"/>
      <c r="AE864" s="4"/>
      <c r="AF864" s="6">
        <v>65</v>
      </c>
      <c r="AG864" s="6"/>
      <c r="AH864" s="7">
        <v>0.9111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12</v>
      </c>
      <c r="AQ864" s="8">
        <v>188.52</v>
      </c>
      <c r="AR864" s="4"/>
      <c r="AS864" s="8"/>
      <c r="AT864" s="7"/>
      <c r="AU864" s="7"/>
      <c r="AV864" s="4">
        <v>12</v>
      </c>
      <c r="AW864" s="8">
        <v>188.52</v>
      </c>
      <c r="AX864" s="4"/>
      <c r="AY864" s="8"/>
      <c r="AZ864" s="7"/>
      <c r="BA864" s="7"/>
      <c r="BB864" s="7">
        <v>1</v>
      </c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>
        <v>0.169</v>
      </c>
      <c r="BJ864" s="4">
        <v>43</v>
      </c>
      <c r="BK864" s="8">
        <v>991.54</v>
      </c>
      <c r="BL864" s="2" t="s">
        <v>2936</v>
      </c>
      <c r="BM864" s="7">
        <v>0.2791</v>
      </c>
      <c r="BN864" s="7">
        <v>0.1901</v>
      </c>
      <c r="BO864" s="4">
        <v>12</v>
      </c>
      <c r="BP864" s="8">
        <v>188.52</v>
      </c>
      <c r="BQ864" s="4"/>
      <c r="BR864" s="8"/>
      <c r="BS864" s="7"/>
      <c r="BT864" s="7"/>
      <c r="BU864" s="2" t="s">
        <v>211</v>
      </c>
      <c r="BV864" s="2" t="s">
        <v>352</v>
      </c>
      <c r="BW864" s="2" t="s">
        <v>606</v>
      </c>
      <c r="BX864" s="2" t="s">
        <v>1002</v>
      </c>
      <c r="BY864" s="2" t="s">
        <v>354</v>
      </c>
    </row>
    <row r="865">
      <c r="A865" s="2" t="s">
        <v>2937</v>
      </c>
      <c r="B865" s="2" t="s">
        <v>86</v>
      </c>
      <c r="C865" s="2" t="s">
        <v>2909</v>
      </c>
      <c r="D865" s="2" t="s">
        <v>88</v>
      </c>
      <c r="E865" s="2" t="s">
        <v>1597</v>
      </c>
      <c r="F865" s="2" t="s">
        <v>2938</v>
      </c>
      <c r="G865" s="2" t="s">
        <v>2938</v>
      </c>
      <c r="H865" s="2" t="s">
        <v>2938</v>
      </c>
      <c r="I865" s="2" t="s">
        <v>2939</v>
      </c>
      <c r="J865" s="2" t="s">
        <v>2912</v>
      </c>
      <c r="K865" s="2" t="s">
        <v>464</v>
      </c>
      <c r="L865" s="3">
        <v>28.75</v>
      </c>
      <c r="M865" s="3">
        <v>30.19</v>
      </c>
      <c r="N865" s="3">
        <v>66.99</v>
      </c>
      <c r="O865" s="2" t="s">
        <v>368</v>
      </c>
      <c r="P865" s="2" t="s">
        <v>215</v>
      </c>
      <c r="Q865" s="2" t="s">
        <v>97</v>
      </c>
      <c r="R865" s="2" t="s">
        <v>98</v>
      </c>
      <c r="S865" s="2" t="s">
        <v>2940</v>
      </c>
      <c r="T865" s="2" t="s">
        <v>98</v>
      </c>
      <c r="U865" s="2" t="s">
        <v>1494</v>
      </c>
      <c r="V865" s="2" t="s">
        <v>101</v>
      </c>
      <c r="W865" s="2" t="s">
        <v>102</v>
      </c>
      <c r="X865" s="2" t="s">
        <v>335</v>
      </c>
      <c r="Y865" s="2" t="s">
        <v>2914</v>
      </c>
      <c r="Z865" s="4"/>
      <c r="AA865" s="4">
        <f>=ROUNDDOWN({0},0)</f>
      </c>
      <c r="AB865" s="5">
        <v>0.5</v>
      </c>
      <c r="AC865" s="2" t="s">
        <v>98</v>
      </c>
      <c r="AD865" s="4"/>
      <c r="AE865" s="4"/>
      <c r="AF865" s="6">
        <v>65</v>
      </c>
      <c r="AG865" s="6"/>
      <c r="AH865" s="7">
        <v>0.9111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13</v>
      </c>
      <c r="AQ865" s="8">
        <v>267.93</v>
      </c>
      <c r="AR865" s="4"/>
      <c r="AS865" s="8"/>
      <c r="AT865" s="7"/>
      <c r="AU865" s="7"/>
      <c r="AV865" s="4">
        <v>13</v>
      </c>
      <c r="AW865" s="8">
        <v>267.93</v>
      </c>
      <c r="AX865" s="4"/>
      <c r="AY865" s="8"/>
      <c r="AZ865" s="7"/>
      <c r="BA865" s="7"/>
      <c r="BB865" s="7">
        <v>1</v>
      </c>
      <c r="BC865" s="4">
        <v>25</v>
      </c>
      <c r="BD865" s="8">
        <v>515.25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>
        <v>0.52</v>
      </c>
      <c r="BJ865" s="4">
        <v>57</v>
      </c>
      <c r="BK865" s="8">
        <v>1550.85</v>
      </c>
      <c r="BL865" s="2" t="s">
        <v>2929</v>
      </c>
      <c r="BM865" s="7">
        <v>0.2281</v>
      </c>
      <c r="BN865" s="7">
        <v>0.1728</v>
      </c>
      <c r="BO865" s="4">
        <v>13</v>
      </c>
      <c r="BP865" s="8">
        <v>267.93</v>
      </c>
      <c r="BQ865" s="4"/>
      <c r="BR865" s="8"/>
      <c r="BS865" s="7"/>
      <c r="BT865" s="7"/>
      <c r="BU865" s="2" t="s">
        <v>211</v>
      </c>
      <c r="BV865" s="2" t="s">
        <v>352</v>
      </c>
      <c r="BW865" s="2" t="s">
        <v>606</v>
      </c>
      <c r="BX865" s="2" t="s">
        <v>2412</v>
      </c>
      <c r="BY865" s="2" t="s">
        <v>354</v>
      </c>
    </row>
    <row r="866">
      <c r="A866" s="2" t="s">
        <v>2941</v>
      </c>
      <c r="B866" s="2" t="s">
        <v>86</v>
      </c>
      <c r="C866" s="2" t="s">
        <v>2909</v>
      </c>
      <c r="D866" s="2" t="s">
        <v>88</v>
      </c>
      <c r="E866" s="2" t="s">
        <v>1597</v>
      </c>
      <c r="F866" s="2" t="s">
        <v>2938</v>
      </c>
      <c r="G866" s="2" t="s">
        <v>2938</v>
      </c>
      <c r="H866" s="2" t="s">
        <v>2938</v>
      </c>
      <c r="I866" s="2" t="s">
        <v>2939</v>
      </c>
      <c r="J866" s="2" t="s">
        <v>2912</v>
      </c>
      <c r="K866" s="2" t="s">
        <v>458</v>
      </c>
      <c r="L866" s="3">
        <v>28.75</v>
      </c>
      <c r="M866" s="3">
        <v>30.19</v>
      </c>
      <c r="N866" s="3">
        <v>66.99</v>
      </c>
      <c r="O866" s="2" t="s">
        <v>368</v>
      </c>
      <c r="P866" s="2" t="s">
        <v>215</v>
      </c>
      <c r="Q866" s="2" t="s">
        <v>97</v>
      </c>
      <c r="R866" s="2" t="s">
        <v>98</v>
      </c>
      <c r="S866" s="2" t="s">
        <v>2940</v>
      </c>
      <c r="T866" s="2" t="s">
        <v>98</v>
      </c>
      <c r="U866" s="2" t="s">
        <v>1494</v>
      </c>
      <c r="V866" s="2" t="s">
        <v>101</v>
      </c>
      <c r="W866" s="2" t="s">
        <v>102</v>
      </c>
      <c r="X866" s="2" t="s">
        <v>335</v>
      </c>
      <c r="Y866" s="2" t="s">
        <v>2914</v>
      </c>
      <c r="Z866" s="4"/>
      <c r="AA866" s="4">
        <f>=ROUNDDOWN({0},0)</f>
      </c>
      <c r="AB866" s="5">
        <v>5</v>
      </c>
      <c r="AC866" s="2" t="s">
        <v>98</v>
      </c>
      <c r="AD866" s="4"/>
      <c r="AE866" s="4"/>
      <c r="AF866" s="6">
        <v>65</v>
      </c>
      <c r="AG866" s="6"/>
      <c r="AH866" s="7">
        <v>0.9111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12</v>
      </c>
      <c r="AQ866" s="8">
        <v>247.32</v>
      </c>
      <c r="AR866" s="4"/>
      <c r="AS866" s="8"/>
      <c r="AT866" s="7"/>
      <c r="AU866" s="7"/>
      <c r="AV866" s="4">
        <v>12</v>
      </c>
      <c r="AW866" s="8">
        <v>247.32</v>
      </c>
      <c r="AX866" s="4"/>
      <c r="AY866" s="8"/>
      <c r="AZ866" s="7"/>
      <c r="BA866" s="7"/>
      <c r="BB866" s="7">
        <v>1</v>
      </c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0.48</v>
      </c>
      <c r="BJ866" s="4">
        <v>73</v>
      </c>
      <c r="BK866" s="8">
        <v>1952.94</v>
      </c>
      <c r="BL866" s="2" t="s">
        <v>2942</v>
      </c>
      <c r="BM866" s="7">
        <v>0.1644</v>
      </c>
      <c r="BN866" s="7">
        <v>0.1266</v>
      </c>
      <c r="BO866" s="4">
        <v>12</v>
      </c>
      <c r="BP866" s="8">
        <v>247.32</v>
      </c>
      <c r="BQ866" s="4"/>
      <c r="BR866" s="8"/>
      <c r="BS866" s="7"/>
      <c r="BT866" s="7"/>
      <c r="BU866" s="2" t="s">
        <v>211</v>
      </c>
      <c r="BV866" s="2" t="s">
        <v>352</v>
      </c>
      <c r="BW866" s="2" t="s">
        <v>606</v>
      </c>
      <c r="BX866" s="2" t="s">
        <v>2654</v>
      </c>
      <c r="BY866" s="2" t="s">
        <v>354</v>
      </c>
    </row>
    <row r="867">
      <c r="A867" s="2" t="s">
        <v>2943</v>
      </c>
      <c r="B867" s="2" t="s">
        <v>86</v>
      </c>
      <c r="C867" s="2" t="s">
        <v>2944</v>
      </c>
      <c r="D867" s="2" t="s">
        <v>88</v>
      </c>
      <c r="E867" s="2" t="s">
        <v>1597</v>
      </c>
      <c r="F867" s="2" t="s">
        <v>2945</v>
      </c>
      <c r="G867" s="2" t="s">
        <v>2946</v>
      </c>
      <c r="H867" s="2" t="s">
        <v>2947</v>
      </c>
      <c r="I867" s="2" t="s">
        <v>2948</v>
      </c>
      <c r="J867" s="2" t="s">
        <v>2949</v>
      </c>
      <c r="K867" s="2" t="s">
        <v>400</v>
      </c>
      <c r="L867" s="3">
        <v>17.02</v>
      </c>
      <c r="M867" s="3">
        <v>17.87</v>
      </c>
      <c r="N867" s="3">
        <v>36.99</v>
      </c>
      <c r="O867" s="2" t="s">
        <v>95</v>
      </c>
      <c r="P867" s="2" t="s">
        <v>699</v>
      </c>
      <c r="Q867" s="2" t="s">
        <v>97</v>
      </c>
      <c r="R867" s="2" t="s">
        <v>98</v>
      </c>
      <c r="S867" s="2" t="s">
        <v>2950</v>
      </c>
      <c r="T867" s="2" t="s">
        <v>2951</v>
      </c>
      <c r="U867" s="2" t="s">
        <v>1494</v>
      </c>
      <c r="V867" s="2" t="s">
        <v>101</v>
      </c>
      <c r="W867" s="2" t="s">
        <v>335</v>
      </c>
      <c r="X867" s="2" t="s">
        <v>103</v>
      </c>
      <c r="Y867" s="2" t="s">
        <v>2952</v>
      </c>
      <c r="Z867" s="4">
        <v>52</v>
      </c>
      <c r="AA867" s="4">
        <f>=ROUNDDOWN(5.77777777777778,0)</f>
      </c>
      <c r="AB867" s="5">
        <v>9</v>
      </c>
      <c r="AC867" s="2" t="s">
        <v>373</v>
      </c>
      <c r="AD867" s="4">
        <v>192</v>
      </c>
      <c r="AE867" s="4">
        <v>192</v>
      </c>
      <c r="AF867" s="6">
        <v>65</v>
      </c>
      <c r="AG867" s="6"/>
      <c r="AH867" s="7">
        <v>0.8444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8</v>
      </c>
      <c r="AQ867" s="8">
        <v>148</v>
      </c>
      <c r="AR867" s="4"/>
      <c r="AS867" s="8"/>
      <c r="AT867" s="7"/>
      <c r="AU867" s="7"/>
      <c r="AV867" s="4">
        <v>46</v>
      </c>
      <c r="AW867" s="8">
        <v>1003.5</v>
      </c>
      <c r="AX867" s="4">
        <v>40</v>
      </c>
      <c r="AY867" s="8">
        <v>763.68</v>
      </c>
      <c r="AZ867" s="7">
        <v>0.15</v>
      </c>
      <c r="BA867" s="7">
        <v>0.314</v>
      </c>
      <c r="BB867" s="7">
        <v>0.1475</v>
      </c>
      <c r="BC867" s="4">
        <v>90</v>
      </c>
      <c r="BD867" s="8">
        <v>1967.5</v>
      </c>
      <c r="BE867" s="4">
        <v>164</v>
      </c>
      <c r="BF867" s="8">
        <v>3065.92</v>
      </c>
      <c r="BG867" s="7">
        <v>-0.4512</v>
      </c>
      <c r="BH867" s="7">
        <v>-0.3583</v>
      </c>
      <c r="BI867" s="7">
        <v>0.51</v>
      </c>
      <c r="BJ867" s="4">
        <v>79</v>
      </c>
      <c r="BK867" s="8">
        <v>1403.52</v>
      </c>
      <c r="BL867" s="2" t="s">
        <v>2953</v>
      </c>
      <c r="BM867" s="7">
        <v>0.1013</v>
      </c>
      <c r="BN867" s="7">
        <v>0.1054</v>
      </c>
      <c r="BO867" s="4">
        <v>8</v>
      </c>
      <c r="BP867" s="8">
        <v>148</v>
      </c>
      <c r="BQ867" s="4"/>
      <c r="BR867" s="8"/>
      <c r="BS867" s="7"/>
      <c r="BT867" s="7"/>
      <c r="BU867" s="2" t="s">
        <v>107</v>
      </c>
      <c r="BV867" s="2" t="s">
        <v>108</v>
      </c>
      <c r="BW867" s="2" t="s">
        <v>659</v>
      </c>
      <c r="BX867" s="2" t="s">
        <v>1445</v>
      </c>
      <c r="BY867" s="2" t="s">
        <v>111</v>
      </c>
    </row>
    <row r="868">
      <c r="A868" s="2" t="s">
        <v>2954</v>
      </c>
      <c r="B868" s="2" t="s">
        <v>86</v>
      </c>
      <c r="C868" s="2" t="s">
        <v>2944</v>
      </c>
      <c r="D868" s="2" t="s">
        <v>88</v>
      </c>
      <c r="E868" s="2" t="s">
        <v>1597</v>
      </c>
      <c r="F868" s="2" t="s">
        <v>2945</v>
      </c>
      <c r="G868" s="2" t="s">
        <v>2946</v>
      </c>
      <c r="H868" s="2" t="s">
        <v>2947</v>
      </c>
      <c r="I868" s="2" t="s">
        <v>2948</v>
      </c>
      <c r="J868" s="2" t="s">
        <v>2955</v>
      </c>
      <c r="K868" s="2" t="s">
        <v>400</v>
      </c>
      <c r="L868" s="3">
        <v>19.32</v>
      </c>
      <c r="M868" s="3">
        <v>20.29</v>
      </c>
      <c r="N868" s="3">
        <v>41.99</v>
      </c>
      <c r="O868" s="2" t="s">
        <v>95</v>
      </c>
      <c r="P868" s="2" t="s">
        <v>150</v>
      </c>
      <c r="Q868" s="2" t="s">
        <v>97</v>
      </c>
      <c r="R868" s="2" t="s">
        <v>98</v>
      </c>
      <c r="S868" s="2" t="s">
        <v>2950</v>
      </c>
      <c r="T868" s="2" t="s">
        <v>2951</v>
      </c>
      <c r="U868" s="2" t="s">
        <v>1494</v>
      </c>
      <c r="V868" s="2" t="s">
        <v>101</v>
      </c>
      <c r="W868" s="2" t="s">
        <v>335</v>
      </c>
      <c r="X868" s="2" t="s">
        <v>103</v>
      </c>
      <c r="Y868" s="2" t="s">
        <v>2952</v>
      </c>
      <c r="Z868" s="4">
        <v>114</v>
      </c>
      <c r="AA868" s="4">
        <f>=ROUNDDOWN(5.7,0)</f>
      </c>
      <c r="AB868" s="5">
        <v>20</v>
      </c>
      <c r="AC868" s="2" t="s">
        <v>2956</v>
      </c>
      <c r="AD868" s="4">
        <v>704</v>
      </c>
      <c r="AE868" s="4">
        <v>704</v>
      </c>
      <c r="AF868" s="6">
        <v>65</v>
      </c>
      <c r="AG868" s="6"/>
      <c r="AH868" s="7">
        <v>0.8444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15</v>
      </c>
      <c r="AQ868" s="8">
        <v>315</v>
      </c>
      <c r="AR868" s="4">
        <v>18</v>
      </c>
      <c r="AS868" s="8">
        <v>321.48</v>
      </c>
      <c r="AT868" s="7">
        <v>-0.1667</v>
      </c>
      <c r="AU868" s="7">
        <v>-0.0202</v>
      </c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>
        <v>0.3139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 t="s">
        <v>98</v>
      </c>
      <c r="BJ868" s="4">
        <v>224</v>
      </c>
      <c r="BK868" s="8">
        <v>4641.07</v>
      </c>
      <c r="BL868" s="2" t="s">
        <v>2957</v>
      </c>
      <c r="BM868" s="7">
        <v>0.067</v>
      </c>
      <c r="BN868" s="7">
        <v>0.0679</v>
      </c>
      <c r="BO868" s="4">
        <v>15</v>
      </c>
      <c r="BP868" s="8">
        <v>315</v>
      </c>
      <c r="BQ868" s="4">
        <v>18</v>
      </c>
      <c r="BR868" s="8">
        <v>321.48</v>
      </c>
      <c r="BS868" s="7">
        <v>-0.1667</v>
      </c>
      <c r="BT868" s="7">
        <v>-0.0202</v>
      </c>
      <c r="BU868" s="2" t="s">
        <v>107</v>
      </c>
      <c r="BV868" s="2" t="s">
        <v>108</v>
      </c>
      <c r="BW868" s="2" t="s">
        <v>659</v>
      </c>
      <c r="BX868" s="2" t="s">
        <v>1454</v>
      </c>
      <c r="BY868" s="2" t="s">
        <v>111</v>
      </c>
    </row>
    <row r="869">
      <c r="A869" s="2" t="s">
        <v>2958</v>
      </c>
      <c r="B869" s="2" t="s">
        <v>86</v>
      </c>
      <c r="C869" s="2" t="s">
        <v>2944</v>
      </c>
      <c r="D869" s="2" t="s">
        <v>88</v>
      </c>
      <c r="E869" s="2" t="s">
        <v>1597</v>
      </c>
      <c r="F869" s="2" t="s">
        <v>2945</v>
      </c>
      <c r="G869" s="2" t="s">
        <v>2946</v>
      </c>
      <c r="H869" s="2" t="s">
        <v>2947</v>
      </c>
      <c r="I869" s="2" t="s">
        <v>2948</v>
      </c>
      <c r="J869" s="2" t="s">
        <v>2959</v>
      </c>
      <c r="K869" s="2" t="s">
        <v>400</v>
      </c>
      <c r="L869" s="3">
        <v>22.09</v>
      </c>
      <c r="M869" s="3">
        <v>23.19</v>
      </c>
      <c r="N869" s="3">
        <v>46.99</v>
      </c>
      <c r="O869" s="2" t="s">
        <v>95</v>
      </c>
      <c r="P869" s="2" t="s">
        <v>150</v>
      </c>
      <c r="Q869" s="2" t="s">
        <v>97</v>
      </c>
      <c r="R869" s="2" t="s">
        <v>98</v>
      </c>
      <c r="S869" s="2" t="s">
        <v>2950</v>
      </c>
      <c r="T869" s="2" t="s">
        <v>2951</v>
      </c>
      <c r="U869" s="2" t="s">
        <v>1494</v>
      </c>
      <c r="V869" s="2" t="s">
        <v>101</v>
      </c>
      <c r="W869" s="2" t="s">
        <v>335</v>
      </c>
      <c r="X869" s="2" t="s">
        <v>103</v>
      </c>
      <c r="Y869" s="2" t="s">
        <v>2952</v>
      </c>
      <c r="Z869" s="4">
        <v>90</v>
      </c>
      <c r="AA869" s="4">
        <f>=ROUNDDOWN(4.09090909090909,0)</f>
      </c>
      <c r="AB869" s="5">
        <v>22</v>
      </c>
      <c r="AC869" s="2" t="s">
        <v>373</v>
      </c>
      <c r="AD869" s="4">
        <v>328</v>
      </c>
      <c r="AE869" s="4">
        <v>448</v>
      </c>
      <c r="AF869" s="6">
        <v>65</v>
      </c>
      <c r="AG869" s="6"/>
      <c r="AH869" s="7">
        <v>0.9111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23</v>
      </c>
      <c r="AQ869" s="8">
        <v>540.5</v>
      </c>
      <c r="AR869" s="4">
        <v>22</v>
      </c>
      <c r="AS869" s="8">
        <v>442.2</v>
      </c>
      <c r="AT869" s="7">
        <v>0.0455</v>
      </c>
      <c r="AU869" s="7">
        <v>0.2223</v>
      </c>
      <c r="AV869" s="4" t="s">
        <v>98</v>
      </c>
      <c r="AW869" s="8" t="s">
        <v>98</v>
      </c>
      <c r="AX869" s="4" t="s">
        <v>98</v>
      </c>
      <c r="AY869" s="8" t="s">
        <v>98</v>
      </c>
      <c r="AZ869" s="7" t="s">
        <v>98</v>
      </c>
      <c r="BA869" s="7" t="s">
        <v>98</v>
      </c>
      <c r="BB869" s="7">
        <v>0.5386</v>
      </c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 t="s">
        <v>98</v>
      </c>
      <c r="BJ869" s="4">
        <v>271</v>
      </c>
      <c r="BK869" s="8">
        <v>6292.6</v>
      </c>
      <c r="BL869" s="2" t="s">
        <v>2960</v>
      </c>
      <c r="BM869" s="7">
        <v>0.0849</v>
      </c>
      <c r="BN869" s="7">
        <v>0.0859</v>
      </c>
      <c r="BO869" s="4">
        <v>23</v>
      </c>
      <c r="BP869" s="8">
        <v>540.5</v>
      </c>
      <c r="BQ869" s="4">
        <v>22</v>
      </c>
      <c r="BR869" s="8">
        <v>442.2</v>
      </c>
      <c r="BS869" s="7">
        <v>0.0455</v>
      </c>
      <c r="BT869" s="7">
        <v>0.2223</v>
      </c>
      <c r="BU869" s="2" t="s">
        <v>107</v>
      </c>
      <c r="BV869" s="2" t="s">
        <v>108</v>
      </c>
      <c r="BW869" s="2" t="s">
        <v>659</v>
      </c>
      <c r="BX869" s="2" t="s">
        <v>690</v>
      </c>
      <c r="BY869" s="2" t="s">
        <v>111</v>
      </c>
    </row>
    <row r="870">
      <c r="A870" s="2" t="s">
        <v>2961</v>
      </c>
      <c r="B870" s="2" t="s">
        <v>86</v>
      </c>
      <c r="C870" s="2" t="s">
        <v>2944</v>
      </c>
      <c r="D870" s="2" t="s">
        <v>88</v>
      </c>
      <c r="E870" s="2" t="s">
        <v>1597</v>
      </c>
      <c r="F870" s="2" t="s">
        <v>2945</v>
      </c>
      <c r="G870" s="2" t="s">
        <v>2946</v>
      </c>
      <c r="H870" s="2" t="s">
        <v>2947</v>
      </c>
      <c r="I870" s="2" t="s">
        <v>2948</v>
      </c>
      <c r="J870" s="2" t="s">
        <v>2949</v>
      </c>
      <c r="K870" s="2" t="s">
        <v>1492</v>
      </c>
      <c r="L870" s="3">
        <v>17.02</v>
      </c>
      <c r="M870" s="3">
        <v>17.87</v>
      </c>
      <c r="N870" s="3">
        <v>36.99</v>
      </c>
      <c r="O870" s="2" t="s">
        <v>95</v>
      </c>
      <c r="P870" s="2" t="s">
        <v>150</v>
      </c>
      <c r="Q870" s="2" t="s">
        <v>97</v>
      </c>
      <c r="R870" s="2" t="s">
        <v>98</v>
      </c>
      <c r="S870" s="2" t="s">
        <v>2962</v>
      </c>
      <c r="T870" s="2" t="s">
        <v>2951</v>
      </c>
      <c r="U870" s="2" t="s">
        <v>1494</v>
      </c>
      <c r="V870" s="2" t="s">
        <v>101</v>
      </c>
      <c r="W870" s="2" t="s">
        <v>335</v>
      </c>
      <c r="X870" s="2" t="s">
        <v>103</v>
      </c>
      <c r="Y870" s="2" t="s">
        <v>2952</v>
      </c>
      <c r="Z870" s="4">
        <v>81</v>
      </c>
      <c r="AA870" s="4">
        <f>=ROUNDDOWN(62.3076923076923,0)</f>
      </c>
      <c r="AB870" s="5">
        <v>1.3</v>
      </c>
      <c r="AC870" s="2" t="s">
        <v>98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6</v>
      </c>
      <c r="AQ870" s="8">
        <v>111</v>
      </c>
      <c r="AR870" s="4">
        <v>15</v>
      </c>
      <c r="AS870" s="8">
        <v>234.3</v>
      </c>
      <c r="AT870" s="7">
        <v>-0.6</v>
      </c>
      <c r="AU870" s="7">
        <v>-0.5262</v>
      </c>
      <c r="AV870" s="4">
        <v>20</v>
      </c>
      <c r="AW870" s="8">
        <v>432.5</v>
      </c>
      <c r="AX870" s="4">
        <v>21</v>
      </c>
      <c r="AY870" s="8">
        <v>352.66</v>
      </c>
      <c r="AZ870" s="7">
        <v>-0.0476</v>
      </c>
      <c r="BA870" s="7">
        <v>0.2264</v>
      </c>
      <c r="BB870" s="7">
        <v>0.2566</v>
      </c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>
        <v>0.2198</v>
      </c>
      <c r="BJ870" s="4">
        <v>42</v>
      </c>
      <c r="BK870" s="8">
        <v>746.2</v>
      </c>
      <c r="BL870" s="2" t="s">
        <v>2963</v>
      </c>
      <c r="BM870" s="7">
        <v>0.1429</v>
      </c>
      <c r="BN870" s="7">
        <v>0.1488</v>
      </c>
      <c r="BO870" s="4">
        <v>6</v>
      </c>
      <c r="BP870" s="8">
        <v>111</v>
      </c>
      <c r="BQ870" s="4">
        <v>15</v>
      </c>
      <c r="BR870" s="8">
        <v>234.3</v>
      </c>
      <c r="BS870" s="7">
        <v>-0.6</v>
      </c>
      <c r="BT870" s="7">
        <v>-0.5262</v>
      </c>
      <c r="BU870" s="2" t="s">
        <v>107</v>
      </c>
      <c r="BV870" s="2" t="s">
        <v>108</v>
      </c>
      <c r="BW870" s="2" t="s">
        <v>659</v>
      </c>
      <c r="BX870" s="2" t="s">
        <v>1911</v>
      </c>
      <c r="BY870" s="2" t="s">
        <v>111</v>
      </c>
    </row>
    <row r="871">
      <c r="A871" s="2" t="s">
        <v>2964</v>
      </c>
      <c r="B871" s="2" t="s">
        <v>86</v>
      </c>
      <c r="C871" s="2" t="s">
        <v>2944</v>
      </c>
      <c r="D871" s="2" t="s">
        <v>88</v>
      </c>
      <c r="E871" s="2" t="s">
        <v>1597</v>
      </c>
      <c r="F871" s="2" t="s">
        <v>2945</v>
      </c>
      <c r="G871" s="2" t="s">
        <v>2946</v>
      </c>
      <c r="H871" s="2" t="s">
        <v>2947</v>
      </c>
      <c r="I871" s="2" t="s">
        <v>2948</v>
      </c>
      <c r="J871" s="2" t="s">
        <v>2955</v>
      </c>
      <c r="K871" s="2" t="s">
        <v>1492</v>
      </c>
      <c r="L871" s="3">
        <v>19.32</v>
      </c>
      <c r="M871" s="3">
        <v>20.29</v>
      </c>
      <c r="N871" s="3">
        <v>41.99</v>
      </c>
      <c r="O871" s="2" t="s">
        <v>95</v>
      </c>
      <c r="P871" s="2" t="s">
        <v>150</v>
      </c>
      <c r="Q871" s="2" t="s">
        <v>97</v>
      </c>
      <c r="R871" s="2" t="s">
        <v>98</v>
      </c>
      <c r="S871" s="2" t="s">
        <v>2950</v>
      </c>
      <c r="T871" s="2" t="s">
        <v>2951</v>
      </c>
      <c r="U871" s="2" t="s">
        <v>1494</v>
      </c>
      <c r="V871" s="2" t="s">
        <v>101</v>
      </c>
      <c r="W871" s="2" t="s">
        <v>335</v>
      </c>
      <c r="X871" s="2" t="s">
        <v>103</v>
      </c>
      <c r="Y871" s="2" t="s">
        <v>2952</v>
      </c>
      <c r="Z871" s="4">
        <v>77</v>
      </c>
      <c r="AA871" s="4">
        <f>=ROUNDDOWN(15.4,0)</f>
      </c>
      <c r="AB871" s="5">
        <v>5</v>
      </c>
      <c r="AC871" s="2" t="s">
        <v>489</v>
      </c>
      <c r="AD871" s="4">
        <v>168</v>
      </c>
      <c r="AE871" s="4">
        <v>168</v>
      </c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3</v>
      </c>
      <c r="AQ871" s="8">
        <v>63</v>
      </c>
      <c r="AR871" s="4">
        <v>1</v>
      </c>
      <c r="AS871" s="8">
        <v>17.86</v>
      </c>
      <c r="AT871" s="7">
        <v>2</v>
      </c>
      <c r="AU871" s="7">
        <v>2.5274</v>
      </c>
      <c r="AV871" s="4" t="s">
        <v>98</v>
      </c>
      <c r="AW871" s="8" t="s">
        <v>98</v>
      </c>
      <c r="AX871" s="4" t="s">
        <v>98</v>
      </c>
      <c r="AY871" s="8" t="s">
        <v>98</v>
      </c>
      <c r="AZ871" s="7" t="s">
        <v>98</v>
      </c>
      <c r="BA871" s="7" t="s">
        <v>98</v>
      </c>
      <c r="BB871" s="7">
        <v>0.1457</v>
      </c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 t="s">
        <v>98</v>
      </c>
      <c r="BJ871" s="4">
        <v>55</v>
      </c>
      <c r="BK871" s="8">
        <v>1083.47</v>
      </c>
      <c r="BL871" s="2" t="s">
        <v>2965</v>
      </c>
      <c r="BM871" s="7">
        <v>0.0545</v>
      </c>
      <c r="BN871" s="7">
        <v>0.0581</v>
      </c>
      <c r="BO871" s="4">
        <v>3</v>
      </c>
      <c r="BP871" s="8">
        <v>63</v>
      </c>
      <c r="BQ871" s="4">
        <v>1</v>
      </c>
      <c r="BR871" s="8">
        <v>17.86</v>
      </c>
      <c r="BS871" s="7">
        <v>2</v>
      </c>
      <c r="BT871" s="7">
        <v>2.5274</v>
      </c>
      <c r="BU871" s="2" t="s">
        <v>107</v>
      </c>
      <c r="BV871" s="2" t="s">
        <v>108</v>
      </c>
      <c r="BW871" s="2" t="s">
        <v>659</v>
      </c>
      <c r="BX871" s="2" t="s">
        <v>1223</v>
      </c>
      <c r="BY871" s="2" t="s">
        <v>111</v>
      </c>
    </row>
    <row r="872">
      <c r="A872" s="2" t="s">
        <v>2966</v>
      </c>
      <c r="B872" s="2" t="s">
        <v>86</v>
      </c>
      <c r="C872" s="2" t="s">
        <v>2944</v>
      </c>
      <c r="D872" s="2" t="s">
        <v>88</v>
      </c>
      <c r="E872" s="2" t="s">
        <v>1597</v>
      </c>
      <c r="F872" s="2" t="s">
        <v>2945</v>
      </c>
      <c r="G872" s="2" t="s">
        <v>2946</v>
      </c>
      <c r="H872" s="2" t="s">
        <v>2947</v>
      </c>
      <c r="I872" s="2" t="s">
        <v>2948</v>
      </c>
      <c r="J872" s="2" t="s">
        <v>2959</v>
      </c>
      <c r="K872" s="2" t="s">
        <v>1492</v>
      </c>
      <c r="L872" s="3">
        <v>22.09</v>
      </c>
      <c r="M872" s="3">
        <v>23.19</v>
      </c>
      <c r="N872" s="3">
        <v>46.99</v>
      </c>
      <c r="O872" s="2" t="s">
        <v>95</v>
      </c>
      <c r="P872" s="2" t="s">
        <v>150</v>
      </c>
      <c r="Q872" s="2" t="s">
        <v>97</v>
      </c>
      <c r="R872" s="2" t="s">
        <v>98</v>
      </c>
      <c r="S872" s="2" t="s">
        <v>2950</v>
      </c>
      <c r="T872" s="2" t="s">
        <v>2951</v>
      </c>
      <c r="U872" s="2" t="s">
        <v>1494</v>
      </c>
      <c r="V872" s="2" t="s">
        <v>101</v>
      </c>
      <c r="W872" s="2" t="s">
        <v>335</v>
      </c>
      <c r="X872" s="2" t="s">
        <v>103</v>
      </c>
      <c r="Y872" s="2" t="s">
        <v>2952</v>
      </c>
      <c r="Z872" s="4">
        <v>136</v>
      </c>
      <c r="AA872" s="4">
        <f>=ROUNDDOWN(34,0)</f>
      </c>
      <c r="AB872" s="5">
        <v>4</v>
      </c>
      <c r="AC872" s="2" t="s">
        <v>489</v>
      </c>
      <c r="AD872" s="4">
        <v>32</v>
      </c>
      <c r="AE872" s="4">
        <v>32</v>
      </c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11</v>
      </c>
      <c r="AQ872" s="8">
        <v>258.5</v>
      </c>
      <c r="AR872" s="4">
        <v>5</v>
      </c>
      <c r="AS872" s="8">
        <v>100.5</v>
      </c>
      <c r="AT872" s="7">
        <v>1.2</v>
      </c>
      <c r="AU872" s="7">
        <v>1.5721</v>
      </c>
      <c r="AV872" s="4" t="s">
        <v>98</v>
      </c>
      <c r="AW872" s="8" t="s">
        <v>98</v>
      </c>
      <c r="AX872" s="4" t="s">
        <v>98</v>
      </c>
      <c r="AY872" s="8" t="s">
        <v>98</v>
      </c>
      <c r="AZ872" s="7" t="s">
        <v>98</v>
      </c>
      <c r="BA872" s="7" t="s">
        <v>98</v>
      </c>
      <c r="BB872" s="7">
        <v>0.5977</v>
      </c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 t="s">
        <v>98</v>
      </c>
      <c r="BJ872" s="4">
        <v>44</v>
      </c>
      <c r="BK872" s="8">
        <v>1016.24</v>
      </c>
      <c r="BL872" s="2" t="s">
        <v>2967</v>
      </c>
      <c r="BM872" s="7">
        <v>0.25</v>
      </c>
      <c r="BN872" s="7">
        <v>0.2544</v>
      </c>
      <c r="BO872" s="4">
        <v>11</v>
      </c>
      <c r="BP872" s="8">
        <v>258.5</v>
      </c>
      <c r="BQ872" s="4">
        <v>5</v>
      </c>
      <c r="BR872" s="8">
        <v>100.5</v>
      </c>
      <c r="BS872" s="7">
        <v>1.2</v>
      </c>
      <c r="BT872" s="7">
        <v>1.5721</v>
      </c>
      <c r="BU872" s="2" t="s">
        <v>107</v>
      </c>
      <c r="BV872" s="2" t="s">
        <v>108</v>
      </c>
      <c r="BW872" s="2" t="s">
        <v>659</v>
      </c>
      <c r="BX872" s="2" t="s">
        <v>1911</v>
      </c>
      <c r="BY872" s="2" t="s">
        <v>111</v>
      </c>
    </row>
    <row r="873">
      <c r="A873" s="2" t="s">
        <v>2968</v>
      </c>
      <c r="B873" s="2" t="s">
        <v>86</v>
      </c>
      <c r="C873" s="2" t="s">
        <v>2944</v>
      </c>
      <c r="D873" s="2" t="s">
        <v>88</v>
      </c>
      <c r="E873" s="2" t="s">
        <v>1597</v>
      </c>
      <c r="F873" s="2" t="s">
        <v>2945</v>
      </c>
      <c r="G873" s="2" t="s">
        <v>2946</v>
      </c>
      <c r="H873" s="2" t="s">
        <v>2947</v>
      </c>
      <c r="I873" s="2" t="s">
        <v>2948</v>
      </c>
      <c r="J873" s="2" t="s">
        <v>2949</v>
      </c>
      <c r="K873" s="2" t="s">
        <v>247</v>
      </c>
      <c r="L873" s="3">
        <v>17.02</v>
      </c>
      <c r="M873" s="3">
        <v>17.87</v>
      </c>
      <c r="N873" s="3">
        <v>36.99</v>
      </c>
      <c r="O873" s="2" t="s">
        <v>95</v>
      </c>
      <c r="P873" s="2" t="s">
        <v>150</v>
      </c>
      <c r="Q873" s="2" t="s">
        <v>97</v>
      </c>
      <c r="R873" s="2" t="s">
        <v>98</v>
      </c>
      <c r="S873" s="2" t="s">
        <v>2969</v>
      </c>
      <c r="T873" s="2" t="s">
        <v>2951</v>
      </c>
      <c r="U873" s="2" t="s">
        <v>1494</v>
      </c>
      <c r="V873" s="2" t="s">
        <v>101</v>
      </c>
      <c r="W873" s="2" t="s">
        <v>335</v>
      </c>
      <c r="X873" s="2" t="s">
        <v>103</v>
      </c>
      <c r="Y873" s="2" t="s">
        <v>2970</v>
      </c>
      <c r="Z873" s="4">
        <v>130</v>
      </c>
      <c r="AA873" s="4">
        <f>=ROUNDDOWN(65,0)</f>
      </c>
      <c r="AB873" s="5">
        <v>2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2</v>
      </c>
      <c r="AQ873" s="8">
        <v>37</v>
      </c>
      <c r="AR873" s="4">
        <v>7</v>
      </c>
      <c r="AS873" s="8">
        <v>115.78</v>
      </c>
      <c r="AT873" s="7">
        <v>-0.7143</v>
      </c>
      <c r="AU873" s="7">
        <v>-0.6804</v>
      </c>
      <c r="AV873" s="4">
        <v>13</v>
      </c>
      <c r="AW873" s="8">
        <v>290.5</v>
      </c>
      <c r="AX873" s="4">
        <v>63</v>
      </c>
      <c r="AY873" s="8">
        <v>1228.46</v>
      </c>
      <c r="AZ873" s="7">
        <v>-0.7937</v>
      </c>
      <c r="BA873" s="7">
        <v>-0.7635</v>
      </c>
      <c r="BB873" s="7">
        <v>0.1274</v>
      </c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>
        <v>0.1476</v>
      </c>
      <c r="BJ873" s="4">
        <v>23</v>
      </c>
      <c r="BK873" s="8">
        <v>394.61</v>
      </c>
      <c r="BL873" s="2" t="s">
        <v>2971</v>
      </c>
      <c r="BM873" s="7">
        <v>0.087</v>
      </c>
      <c r="BN873" s="7">
        <v>0.0938</v>
      </c>
      <c r="BO873" s="4">
        <v>2</v>
      </c>
      <c r="BP873" s="8">
        <v>37</v>
      </c>
      <c r="BQ873" s="4">
        <v>7</v>
      </c>
      <c r="BR873" s="8">
        <v>115.78</v>
      </c>
      <c r="BS873" s="7">
        <v>-0.7143</v>
      </c>
      <c r="BT873" s="7">
        <v>-0.6804</v>
      </c>
      <c r="BU873" s="2" t="s">
        <v>107</v>
      </c>
      <c r="BV873" s="2" t="s">
        <v>108</v>
      </c>
      <c r="BW873" s="2" t="s">
        <v>801</v>
      </c>
      <c r="BX873" s="2" t="s">
        <v>960</v>
      </c>
      <c r="BY873" s="2" t="s">
        <v>111</v>
      </c>
    </row>
    <row r="874">
      <c r="A874" s="2" t="s">
        <v>2972</v>
      </c>
      <c r="B874" s="2" t="s">
        <v>86</v>
      </c>
      <c r="C874" s="2" t="s">
        <v>2944</v>
      </c>
      <c r="D874" s="2" t="s">
        <v>88</v>
      </c>
      <c r="E874" s="2" t="s">
        <v>1597</v>
      </c>
      <c r="F874" s="2" t="s">
        <v>2945</v>
      </c>
      <c r="G874" s="2" t="s">
        <v>2946</v>
      </c>
      <c r="H874" s="2" t="s">
        <v>2947</v>
      </c>
      <c r="I874" s="2" t="s">
        <v>2948</v>
      </c>
      <c r="J874" s="2" t="s">
        <v>2955</v>
      </c>
      <c r="K874" s="2" t="s">
        <v>247</v>
      </c>
      <c r="L874" s="3">
        <v>19.32</v>
      </c>
      <c r="M874" s="3">
        <v>20.29</v>
      </c>
      <c r="N874" s="3">
        <v>41.99</v>
      </c>
      <c r="O874" s="2" t="s">
        <v>95</v>
      </c>
      <c r="P874" s="2" t="s">
        <v>150</v>
      </c>
      <c r="Q874" s="2" t="s">
        <v>97</v>
      </c>
      <c r="R874" s="2" t="s">
        <v>98</v>
      </c>
      <c r="S874" s="2" t="s">
        <v>2969</v>
      </c>
      <c r="T874" s="2" t="s">
        <v>2951</v>
      </c>
      <c r="U874" s="2" t="s">
        <v>1494</v>
      </c>
      <c r="V874" s="2" t="s">
        <v>101</v>
      </c>
      <c r="W874" s="2" t="s">
        <v>335</v>
      </c>
      <c r="X874" s="2" t="s">
        <v>103</v>
      </c>
      <c r="Y874" s="2" t="s">
        <v>2970</v>
      </c>
      <c r="Z874" s="4">
        <v>132</v>
      </c>
      <c r="AA874" s="4">
        <f>=ROUNDDOWN(16.5,0)</f>
      </c>
      <c r="AB874" s="5">
        <v>8</v>
      </c>
      <c r="AC874" s="2" t="s">
        <v>98</v>
      </c>
      <c r="AD874" s="4"/>
      <c r="AE874" s="4"/>
      <c r="AF874" s="6">
        <v>65</v>
      </c>
      <c r="AG874" s="6"/>
      <c r="AH874" s="7">
        <v>0.3778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2</v>
      </c>
      <c r="AQ874" s="8">
        <v>42</v>
      </c>
      <c r="AR874" s="4">
        <v>33</v>
      </c>
      <c r="AS874" s="8">
        <v>623.7</v>
      </c>
      <c r="AT874" s="7">
        <v>-0.9394</v>
      </c>
      <c r="AU874" s="7">
        <v>-0.9327</v>
      </c>
      <c r="AV874" s="4" t="s">
        <v>98</v>
      </c>
      <c r="AW874" s="8" t="s">
        <v>98</v>
      </c>
      <c r="AX874" s="4" t="s">
        <v>98</v>
      </c>
      <c r="AY874" s="8" t="s">
        <v>98</v>
      </c>
      <c r="AZ874" s="7" t="s">
        <v>98</v>
      </c>
      <c r="BA874" s="7" t="s">
        <v>98</v>
      </c>
      <c r="BB874" s="7">
        <v>0.1446</v>
      </c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 t="s">
        <v>98</v>
      </c>
      <c r="BJ874" s="4">
        <v>20</v>
      </c>
      <c r="BK874" s="8">
        <v>400.13</v>
      </c>
      <c r="BL874" s="2" t="s">
        <v>2973</v>
      </c>
      <c r="BM874" s="7">
        <v>0.1</v>
      </c>
      <c r="BN874" s="7">
        <v>0.105</v>
      </c>
      <c r="BO874" s="4">
        <v>2</v>
      </c>
      <c r="BP874" s="8">
        <v>42</v>
      </c>
      <c r="BQ874" s="4">
        <v>33</v>
      </c>
      <c r="BR874" s="8">
        <v>623.7</v>
      </c>
      <c r="BS874" s="7">
        <v>-0.9394</v>
      </c>
      <c r="BT874" s="7">
        <v>-0.9327</v>
      </c>
      <c r="BU874" s="2" t="s">
        <v>107</v>
      </c>
      <c r="BV874" s="2" t="s">
        <v>108</v>
      </c>
      <c r="BW874" s="2" t="s">
        <v>801</v>
      </c>
      <c r="BX874" s="2" t="s">
        <v>2574</v>
      </c>
      <c r="BY874" s="2" t="s">
        <v>111</v>
      </c>
    </row>
    <row r="875">
      <c r="A875" s="2" t="s">
        <v>2974</v>
      </c>
      <c r="B875" s="2" t="s">
        <v>86</v>
      </c>
      <c r="C875" s="2" t="s">
        <v>2944</v>
      </c>
      <c r="D875" s="2" t="s">
        <v>88</v>
      </c>
      <c r="E875" s="2" t="s">
        <v>1597</v>
      </c>
      <c r="F875" s="2" t="s">
        <v>2945</v>
      </c>
      <c r="G875" s="2" t="s">
        <v>2946</v>
      </c>
      <c r="H875" s="2" t="s">
        <v>2947</v>
      </c>
      <c r="I875" s="2" t="s">
        <v>2948</v>
      </c>
      <c r="J875" s="2" t="s">
        <v>2959</v>
      </c>
      <c r="K875" s="2" t="s">
        <v>247</v>
      </c>
      <c r="L875" s="3">
        <v>22.09</v>
      </c>
      <c r="M875" s="3">
        <v>23.19</v>
      </c>
      <c r="N875" s="3">
        <v>46.99</v>
      </c>
      <c r="O875" s="2" t="s">
        <v>95</v>
      </c>
      <c r="P875" s="2" t="s">
        <v>150</v>
      </c>
      <c r="Q875" s="2" t="s">
        <v>97</v>
      </c>
      <c r="R875" s="2" t="s">
        <v>98</v>
      </c>
      <c r="S875" s="2" t="s">
        <v>2969</v>
      </c>
      <c r="T875" s="2" t="s">
        <v>2951</v>
      </c>
      <c r="U875" s="2" t="s">
        <v>1494</v>
      </c>
      <c r="V875" s="2" t="s">
        <v>101</v>
      </c>
      <c r="W875" s="2" t="s">
        <v>335</v>
      </c>
      <c r="X875" s="2" t="s">
        <v>103</v>
      </c>
      <c r="Y875" s="2" t="s">
        <v>2970</v>
      </c>
      <c r="Z875" s="4">
        <v>177</v>
      </c>
      <c r="AA875" s="4">
        <f>=ROUNDDOWN(45.3846153846154,0)</f>
      </c>
      <c r="AB875" s="5">
        <v>3.9</v>
      </c>
      <c r="AC875" s="2" t="s">
        <v>98</v>
      </c>
      <c r="AD875" s="4"/>
      <c r="AE875" s="4"/>
      <c r="AF875" s="6">
        <v>65</v>
      </c>
      <c r="AG875" s="6"/>
      <c r="AH875" s="7">
        <v>0.4889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9</v>
      </c>
      <c r="AQ875" s="8">
        <v>211.5</v>
      </c>
      <c r="AR875" s="4">
        <v>23</v>
      </c>
      <c r="AS875" s="8">
        <v>488.98</v>
      </c>
      <c r="AT875" s="7">
        <v>-0.6087</v>
      </c>
      <c r="AU875" s="7">
        <v>-0.5675</v>
      </c>
      <c r="AV875" s="4" t="s">
        <v>98</v>
      </c>
      <c r="AW875" s="8" t="s">
        <v>98</v>
      </c>
      <c r="AX875" s="4" t="s">
        <v>98</v>
      </c>
      <c r="AY875" s="8" t="s">
        <v>98</v>
      </c>
      <c r="AZ875" s="7" t="s">
        <v>98</v>
      </c>
      <c r="BA875" s="7" t="s">
        <v>98</v>
      </c>
      <c r="BB875" s="7">
        <v>0.7281</v>
      </c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 t="s">
        <v>98</v>
      </c>
      <c r="BJ875" s="4">
        <v>54</v>
      </c>
      <c r="BK875" s="8">
        <v>1235.8</v>
      </c>
      <c r="BL875" s="2" t="s">
        <v>2975</v>
      </c>
      <c r="BM875" s="7">
        <v>0.1667</v>
      </c>
      <c r="BN875" s="7">
        <v>0.1711</v>
      </c>
      <c r="BO875" s="4">
        <v>9</v>
      </c>
      <c r="BP875" s="8">
        <v>211.5</v>
      </c>
      <c r="BQ875" s="4">
        <v>23</v>
      </c>
      <c r="BR875" s="8">
        <v>488.98</v>
      </c>
      <c r="BS875" s="7">
        <v>-0.6087</v>
      </c>
      <c r="BT875" s="7">
        <v>-0.5675</v>
      </c>
      <c r="BU875" s="2" t="s">
        <v>107</v>
      </c>
      <c r="BV875" s="2" t="s">
        <v>108</v>
      </c>
      <c r="BW875" s="2" t="s">
        <v>801</v>
      </c>
      <c r="BX875" s="2" t="s">
        <v>964</v>
      </c>
      <c r="BY875" s="2" t="s">
        <v>111</v>
      </c>
    </row>
    <row r="876">
      <c r="A876" s="2" t="s">
        <v>2976</v>
      </c>
      <c r="B876" s="2" t="s">
        <v>86</v>
      </c>
      <c r="C876" s="2" t="s">
        <v>2944</v>
      </c>
      <c r="D876" s="2" t="s">
        <v>88</v>
      </c>
      <c r="E876" s="2" t="s">
        <v>1597</v>
      </c>
      <c r="F876" s="2" t="s">
        <v>2945</v>
      </c>
      <c r="G876" s="2" t="s">
        <v>2946</v>
      </c>
      <c r="H876" s="2" t="s">
        <v>2947</v>
      </c>
      <c r="I876" s="2" t="s">
        <v>2948</v>
      </c>
      <c r="J876" s="2" t="s">
        <v>2949</v>
      </c>
      <c r="K876" s="2" t="s">
        <v>299</v>
      </c>
      <c r="L876" s="3">
        <v>17.02</v>
      </c>
      <c r="M876" s="3">
        <v>17.87</v>
      </c>
      <c r="N876" s="3">
        <v>36.99</v>
      </c>
      <c r="O876" s="2" t="s">
        <v>95</v>
      </c>
      <c r="P876" s="2" t="s">
        <v>150</v>
      </c>
      <c r="Q876" s="2" t="s">
        <v>97</v>
      </c>
      <c r="R876" s="2" t="s">
        <v>98</v>
      </c>
      <c r="S876" s="2" t="s">
        <v>2977</v>
      </c>
      <c r="T876" s="2" t="s">
        <v>2951</v>
      </c>
      <c r="U876" s="2" t="s">
        <v>1494</v>
      </c>
      <c r="V876" s="2" t="s">
        <v>101</v>
      </c>
      <c r="W876" s="2" t="s">
        <v>335</v>
      </c>
      <c r="X876" s="2" t="s">
        <v>103</v>
      </c>
      <c r="Y876" s="2" t="s">
        <v>2952</v>
      </c>
      <c r="Z876" s="4">
        <v>52</v>
      </c>
      <c r="AA876" s="4">
        <f>=ROUNDDOWN(17.3333333333333,0)</f>
      </c>
      <c r="AB876" s="5">
        <v>3</v>
      </c>
      <c r="AC876" s="2" t="s">
        <v>253</v>
      </c>
      <c r="AD876" s="4">
        <v>44</v>
      </c>
      <c r="AE876" s="4">
        <v>44</v>
      </c>
      <c r="AF876" s="6">
        <v>65</v>
      </c>
      <c r="AG876" s="6"/>
      <c r="AH876" s="7">
        <v>0.9222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>
        <v>7</v>
      </c>
      <c r="AS876" s="8">
        <v>109.34</v>
      </c>
      <c r="AT876" s="7">
        <v>-1</v>
      </c>
      <c r="AU876" s="7">
        <v>-1</v>
      </c>
      <c r="AV876" s="4">
        <v>11</v>
      </c>
      <c r="AW876" s="8">
        <v>241</v>
      </c>
      <c r="AX876" s="4">
        <v>40</v>
      </c>
      <c r="AY876" s="8">
        <v>721.12</v>
      </c>
      <c r="AZ876" s="7">
        <v>-0.725</v>
      </c>
      <c r="BA876" s="7">
        <v>-0.6658</v>
      </c>
      <c r="BB876" s="7"/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0.1225</v>
      </c>
      <c r="BJ876" s="4">
        <v>35</v>
      </c>
      <c r="BK876" s="8">
        <v>626.5</v>
      </c>
      <c r="BL876" s="2" t="s">
        <v>2978</v>
      </c>
      <c r="BM876" s="7"/>
      <c r="BN876" s="7"/>
      <c r="BO876" s="4"/>
      <c r="BP876" s="8"/>
      <c r="BQ876" s="4">
        <v>7</v>
      </c>
      <c r="BR876" s="8">
        <v>109.34</v>
      </c>
      <c r="BS876" s="7">
        <v>-1</v>
      </c>
      <c r="BT876" s="7">
        <v>-1</v>
      </c>
      <c r="BU876" s="2" t="s">
        <v>107</v>
      </c>
      <c r="BV876" s="2" t="s">
        <v>108</v>
      </c>
      <c r="BW876" s="2" t="s">
        <v>659</v>
      </c>
      <c r="BX876" s="2" t="s">
        <v>1920</v>
      </c>
      <c r="BY876" s="2" t="s">
        <v>111</v>
      </c>
    </row>
    <row r="877">
      <c r="A877" s="2" t="s">
        <v>2979</v>
      </c>
      <c r="B877" s="2" t="s">
        <v>86</v>
      </c>
      <c r="C877" s="2" t="s">
        <v>2944</v>
      </c>
      <c r="D877" s="2" t="s">
        <v>88</v>
      </c>
      <c r="E877" s="2" t="s">
        <v>1597</v>
      </c>
      <c r="F877" s="2" t="s">
        <v>2945</v>
      </c>
      <c r="G877" s="2" t="s">
        <v>2946</v>
      </c>
      <c r="H877" s="2" t="s">
        <v>2947</v>
      </c>
      <c r="I877" s="2" t="s">
        <v>2948</v>
      </c>
      <c r="J877" s="2" t="s">
        <v>2955</v>
      </c>
      <c r="K877" s="2" t="s">
        <v>299</v>
      </c>
      <c r="L877" s="3">
        <v>19.32</v>
      </c>
      <c r="M877" s="3">
        <v>20.29</v>
      </c>
      <c r="N877" s="3">
        <v>41.99</v>
      </c>
      <c r="O877" s="2" t="s">
        <v>95</v>
      </c>
      <c r="P877" s="2" t="s">
        <v>150</v>
      </c>
      <c r="Q877" s="2" t="s">
        <v>97</v>
      </c>
      <c r="R877" s="2" t="s">
        <v>98</v>
      </c>
      <c r="S877" s="2" t="s">
        <v>2977</v>
      </c>
      <c r="T877" s="2" t="s">
        <v>2951</v>
      </c>
      <c r="U877" s="2" t="s">
        <v>1494</v>
      </c>
      <c r="V877" s="2" t="s">
        <v>101</v>
      </c>
      <c r="W877" s="2" t="s">
        <v>335</v>
      </c>
      <c r="X877" s="2" t="s">
        <v>103</v>
      </c>
      <c r="Y877" s="2" t="s">
        <v>2952</v>
      </c>
      <c r="Z877" s="4">
        <v>69</v>
      </c>
      <c r="AA877" s="4">
        <f>=ROUNDDOWN(7.66666666666667,0)</f>
      </c>
      <c r="AB877" s="5">
        <v>9</v>
      </c>
      <c r="AC877" s="2" t="s">
        <v>253</v>
      </c>
      <c r="AD877" s="4">
        <v>192</v>
      </c>
      <c r="AE877" s="4">
        <v>192</v>
      </c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7</v>
      </c>
      <c r="AQ877" s="8">
        <v>147</v>
      </c>
      <c r="AR877" s="4">
        <v>23</v>
      </c>
      <c r="AS877" s="8">
        <v>410.78</v>
      </c>
      <c r="AT877" s="7">
        <v>-0.6957</v>
      </c>
      <c r="AU877" s="7">
        <v>-0.6421</v>
      </c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>
        <v>0.61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 t="s">
        <v>98</v>
      </c>
      <c r="BJ877" s="4">
        <v>135</v>
      </c>
      <c r="BK877" s="8">
        <v>2756.61</v>
      </c>
      <c r="BL877" s="2" t="s">
        <v>2980</v>
      </c>
      <c r="BM877" s="7">
        <v>0.0519</v>
      </c>
      <c r="BN877" s="7">
        <v>0.0533</v>
      </c>
      <c r="BO877" s="4">
        <v>7</v>
      </c>
      <c r="BP877" s="8">
        <v>147</v>
      </c>
      <c r="BQ877" s="4">
        <v>23</v>
      </c>
      <c r="BR877" s="8">
        <v>410.78</v>
      </c>
      <c r="BS877" s="7">
        <v>-0.6957</v>
      </c>
      <c r="BT877" s="7">
        <v>-0.6421</v>
      </c>
      <c r="BU877" s="2" t="s">
        <v>107</v>
      </c>
      <c r="BV877" s="2" t="s">
        <v>108</v>
      </c>
      <c r="BW877" s="2" t="s">
        <v>659</v>
      </c>
      <c r="BX877" s="2" t="s">
        <v>1920</v>
      </c>
      <c r="BY877" s="2" t="s">
        <v>111</v>
      </c>
    </row>
    <row r="878">
      <c r="A878" s="2" t="s">
        <v>2981</v>
      </c>
      <c r="B878" s="2" t="s">
        <v>86</v>
      </c>
      <c r="C878" s="2" t="s">
        <v>2944</v>
      </c>
      <c r="D878" s="2" t="s">
        <v>88</v>
      </c>
      <c r="E878" s="2" t="s">
        <v>1597</v>
      </c>
      <c r="F878" s="2" t="s">
        <v>2945</v>
      </c>
      <c r="G878" s="2" t="s">
        <v>2946</v>
      </c>
      <c r="H878" s="2" t="s">
        <v>2947</v>
      </c>
      <c r="I878" s="2" t="s">
        <v>2948</v>
      </c>
      <c r="J878" s="2" t="s">
        <v>2959</v>
      </c>
      <c r="K878" s="2" t="s">
        <v>299</v>
      </c>
      <c r="L878" s="3">
        <v>22.09</v>
      </c>
      <c r="M878" s="3">
        <v>23.19</v>
      </c>
      <c r="N878" s="3">
        <v>46.99</v>
      </c>
      <c r="O878" s="2" t="s">
        <v>95</v>
      </c>
      <c r="P878" s="2" t="s">
        <v>150</v>
      </c>
      <c r="Q878" s="2" t="s">
        <v>97</v>
      </c>
      <c r="R878" s="2" t="s">
        <v>98</v>
      </c>
      <c r="S878" s="2" t="s">
        <v>2977</v>
      </c>
      <c r="T878" s="2" t="s">
        <v>2951</v>
      </c>
      <c r="U878" s="2" t="s">
        <v>1494</v>
      </c>
      <c r="V878" s="2" t="s">
        <v>101</v>
      </c>
      <c r="W878" s="2" t="s">
        <v>335</v>
      </c>
      <c r="X878" s="2" t="s">
        <v>103</v>
      </c>
      <c r="Y878" s="2" t="s">
        <v>2952</v>
      </c>
      <c r="Z878" s="4">
        <v>101</v>
      </c>
      <c r="AA878" s="4">
        <f>=ROUNDDOWN(11.2222222222222,0)</f>
      </c>
      <c r="AB878" s="5">
        <v>9</v>
      </c>
      <c r="AC878" s="2" t="s">
        <v>253</v>
      </c>
      <c r="AD878" s="4">
        <v>148</v>
      </c>
      <c r="AE878" s="4">
        <v>148</v>
      </c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4</v>
      </c>
      <c r="AQ878" s="8">
        <v>94</v>
      </c>
      <c r="AR878" s="4">
        <v>10</v>
      </c>
      <c r="AS878" s="8">
        <v>201</v>
      </c>
      <c r="AT878" s="7">
        <v>-0.6</v>
      </c>
      <c r="AU878" s="7">
        <v>-0.5323</v>
      </c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>
        <v>0.39</v>
      </c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 t="s">
        <v>98</v>
      </c>
      <c r="BJ878" s="4">
        <v>140</v>
      </c>
      <c r="BK878" s="8">
        <v>3256.29</v>
      </c>
      <c r="BL878" s="2" t="s">
        <v>2982</v>
      </c>
      <c r="BM878" s="7">
        <v>0.0286</v>
      </c>
      <c r="BN878" s="7">
        <v>0.0289</v>
      </c>
      <c r="BO878" s="4">
        <v>4</v>
      </c>
      <c r="BP878" s="8">
        <v>94</v>
      </c>
      <c r="BQ878" s="4">
        <v>10</v>
      </c>
      <c r="BR878" s="8">
        <v>201</v>
      </c>
      <c r="BS878" s="7">
        <v>-0.6</v>
      </c>
      <c r="BT878" s="7">
        <v>-0.5323</v>
      </c>
      <c r="BU878" s="2" t="s">
        <v>107</v>
      </c>
      <c r="BV878" s="2" t="s">
        <v>108</v>
      </c>
      <c r="BW878" s="2" t="s">
        <v>659</v>
      </c>
      <c r="BX878" s="2" t="s">
        <v>1223</v>
      </c>
      <c r="BY878" s="2" t="s">
        <v>111</v>
      </c>
    </row>
    <row r="879">
      <c r="A879" s="2" t="s">
        <v>2983</v>
      </c>
      <c r="B879" s="2" t="s">
        <v>86</v>
      </c>
      <c r="C879" s="2" t="s">
        <v>2944</v>
      </c>
      <c r="D879" s="2" t="s">
        <v>88</v>
      </c>
      <c r="E879" s="2" t="s">
        <v>1597</v>
      </c>
      <c r="F879" s="2" t="s">
        <v>2945</v>
      </c>
      <c r="G879" s="2" t="s">
        <v>2946</v>
      </c>
      <c r="H879" s="2" t="s">
        <v>2947</v>
      </c>
      <c r="I879" s="2" t="s">
        <v>2948</v>
      </c>
      <c r="J879" s="2" t="s">
        <v>2955</v>
      </c>
      <c r="K879" s="2" t="s">
        <v>323</v>
      </c>
      <c r="L879" s="3">
        <v>19.32</v>
      </c>
      <c r="M879" s="3">
        <v>20.29</v>
      </c>
      <c r="N879" s="3">
        <v>41.99</v>
      </c>
      <c r="O879" s="2" t="s">
        <v>95</v>
      </c>
      <c r="P879" s="2" t="s">
        <v>313</v>
      </c>
      <c r="Q879" s="2" t="s">
        <v>97</v>
      </c>
      <c r="R879" s="2" t="s">
        <v>98</v>
      </c>
      <c r="S879" s="2" t="s">
        <v>2984</v>
      </c>
      <c r="T879" s="2" t="s">
        <v>2951</v>
      </c>
      <c r="U879" s="2" t="s">
        <v>1494</v>
      </c>
      <c r="V879" s="2" t="s">
        <v>101</v>
      </c>
      <c r="W879" s="2" t="s">
        <v>335</v>
      </c>
      <c r="X879" s="2" t="s">
        <v>103</v>
      </c>
      <c r="Y879" s="2" t="s">
        <v>1172</v>
      </c>
      <c r="Z879" s="4">
        <v>136</v>
      </c>
      <c r="AA879" s="4">
        <f>=ROUNDDOWN(27.2,0)</f>
      </c>
      <c r="AB879" s="5">
        <v>5</v>
      </c>
      <c r="AC879" s="2" t="s">
        <v>98</v>
      </c>
      <c r="AD879" s="4"/>
      <c r="AE879" s="4"/>
      <c r="AF879" s="6">
        <v>65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98</v>
      </c>
      <c r="AW879" s="8" t="s">
        <v>98</v>
      </c>
      <c r="AX879" s="4" t="s">
        <v>98</v>
      </c>
      <c r="AY879" s="8" t="s">
        <v>98</v>
      </c>
      <c r="AZ879" s="7" t="s">
        <v>98</v>
      </c>
      <c r="BA879" s="7" t="s">
        <v>98</v>
      </c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 t="s">
        <v>98</v>
      </c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316</v>
      </c>
      <c r="BV879" s="2" t="s">
        <v>95</v>
      </c>
      <c r="BW879" s="2" t="s">
        <v>98</v>
      </c>
      <c r="BX879" s="2" t="s">
        <v>98</v>
      </c>
      <c r="BY879" s="2" t="s">
        <v>111</v>
      </c>
    </row>
    <row r="880">
      <c r="A880" s="2" t="s">
        <v>2985</v>
      </c>
      <c r="B880" s="2" t="s">
        <v>86</v>
      </c>
      <c r="C880" s="2" t="s">
        <v>2944</v>
      </c>
      <c r="D880" s="2" t="s">
        <v>88</v>
      </c>
      <c r="E880" s="2" t="s">
        <v>1597</v>
      </c>
      <c r="F880" s="2" t="s">
        <v>2945</v>
      </c>
      <c r="G880" s="2" t="s">
        <v>2946</v>
      </c>
      <c r="H880" s="2" t="s">
        <v>2947</v>
      </c>
      <c r="I880" s="2" t="s">
        <v>2948</v>
      </c>
      <c r="J880" s="2" t="s">
        <v>2959</v>
      </c>
      <c r="K880" s="2" t="s">
        <v>323</v>
      </c>
      <c r="L880" s="3">
        <v>22.09</v>
      </c>
      <c r="M880" s="3">
        <v>23.19</v>
      </c>
      <c r="N880" s="3">
        <v>46.99</v>
      </c>
      <c r="O880" s="2" t="s">
        <v>95</v>
      </c>
      <c r="P880" s="2" t="s">
        <v>313</v>
      </c>
      <c r="Q880" s="2" t="s">
        <v>97</v>
      </c>
      <c r="R880" s="2" t="s">
        <v>98</v>
      </c>
      <c r="S880" s="2" t="s">
        <v>2986</v>
      </c>
      <c r="T880" s="2" t="s">
        <v>2951</v>
      </c>
      <c r="U880" s="2" t="s">
        <v>1494</v>
      </c>
      <c r="V880" s="2" t="s">
        <v>101</v>
      </c>
      <c r="W880" s="2" t="s">
        <v>335</v>
      </c>
      <c r="X880" s="2" t="s">
        <v>103</v>
      </c>
      <c r="Y880" s="2" t="s">
        <v>1172</v>
      </c>
      <c r="Z880" s="4">
        <v>156</v>
      </c>
      <c r="AA880" s="4">
        <f>=ROUNDDOWN(78,0)</f>
      </c>
      <c r="AB880" s="5">
        <v>2</v>
      </c>
      <c r="AC880" s="2" t="s">
        <v>98</v>
      </c>
      <c r="AD880" s="4"/>
      <c r="AE880" s="4"/>
      <c r="AF880" s="6">
        <v>65</v>
      </c>
      <c r="AG880" s="6"/>
      <c r="AH880" s="7">
        <v>0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 t="s">
        <v>98</v>
      </c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316</v>
      </c>
      <c r="BV880" s="2" t="s">
        <v>95</v>
      </c>
      <c r="BW880" s="2" t="s">
        <v>98</v>
      </c>
      <c r="BX880" s="2" t="s">
        <v>98</v>
      </c>
      <c r="BY880" s="2" t="s">
        <v>111</v>
      </c>
    </row>
    <row r="881">
      <c r="A881" s="2" t="s">
        <v>2987</v>
      </c>
      <c r="B881" s="2" t="s">
        <v>86</v>
      </c>
      <c r="C881" s="2" t="s">
        <v>2944</v>
      </c>
      <c r="D881" s="2" t="s">
        <v>88</v>
      </c>
      <c r="E881" s="2" t="s">
        <v>1597</v>
      </c>
      <c r="F881" s="2" t="s">
        <v>2945</v>
      </c>
      <c r="G881" s="2" t="s">
        <v>2946</v>
      </c>
      <c r="H881" s="2" t="s">
        <v>2947</v>
      </c>
      <c r="I881" s="2" t="s">
        <v>2948</v>
      </c>
      <c r="J881" s="2" t="s">
        <v>2955</v>
      </c>
      <c r="K881" s="2" t="s">
        <v>2988</v>
      </c>
      <c r="L881" s="3">
        <v>19.32</v>
      </c>
      <c r="M881" s="3">
        <v>20.29</v>
      </c>
      <c r="N881" s="3">
        <v>41.99</v>
      </c>
      <c r="O881" s="2" t="s">
        <v>95</v>
      </c>
      <c r="P881" s="2" t="s">
        <v>2989</v>
      </c>
      <c r="Q881" s="2" t="s">
        <v>97</v>
      </c>
      <c r="R881" s="2" t="s">
        <v>98</v>
      </c>
      <c r="S881" s="2" t="s">
        <v>2990</v>
      </c>
      <c r="T881" s="2" t="s">
        <v>2951</v>
      </c>
      <c r="U881" s="2" t="s">
        <v>1494</v>
      </c>
      <c r="V881" s="2" t="s">
        <v>101</v>
      </c>
      <c r="W881" s="2" t="s">
        <v>335</v>
      </c>
      <c r="X881" s="2" t="s">
        <v>103</v>
      </c>
      <c r="Y881" s="2" t="s">
        <v>98</v>
      </c>
      <c r="Z881" s="4"/>
      <c r="AA881" s="4">
        <f>=ROUNDDOWN({0},0)</f>
      </c>
      <c r="AB881" s="5"/>
      <c r="AC881" s="2" t="s">
        <v>98</v>
      </c>
      <c r="AD881" s="4"/>
      <c r="AE881" s="4"/>
      <c r="AF881" s="6">
        <v>64</v>
      </c>
      <c r="AG881" s="6"/>
      <c r="AH881" s="7">
        <v>0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 t="s">
        <v>98</v>
      </c>
      <c r="BJ881" s="4"/>
      <c r="BK881" s="8"/>
      <c r="BL881" s="2" t="s">
        <v>98</v>
      </c>
      <c r="BM881" s="7"/>
      <c r="BN881" s="7"/>
      <c r="BO881" s="4"/>
      <c r="BP881" s="8"/>
      <c r="BQ881" s="4"/>
      <c r="BR881" s="8"/>
      <c r="BS881" s="7"/>
      <c r="BT881" s="7"/>
      <c r="BU881" s="2" t="s">
        <v>1437</v>
      </c>
      <c r="BV881" s="2" t="s">
        <v>95</v>
      </c>
      <c r="BW881" s="2" t="s">
        <v>98</v>
      </c>
      <c r="BX881" s="2" t="s">
        <v>98</v>
      </c>
      <c r="BY881" s="2" t="s">
        <v>111</v>
      </c>
    </row>
    <row r="882">
      <c r="A882" s="2" t="s">
        <v>2991</v>
      </c>
      <c r="B882" s="2" t="s">
        <v>86</v>
      </c>
      <c r="C882" s="2" t="s">
        <v>2944</v>
      </c>
      <c r="D882" s="2" t="s">
        <v>88</v>
      </c>
      <c r="E882" s="2" t="s">
        <v>1597</v>
      </c>
      <c r="F882" s="2" t="s">
        <v>2945</v>
      </c>
      <c r="G882" s="2" t="s">
        <v>2946</v>
      </c>
      <c r="H882" s="2" t="s">
        <v>2947</v>
      </c>
      <c r="I882" s="2" t="s">
        <v>2948</v>
      </c>
      <c r="J882" s="2" t="s">
        <v>2959</v>
      </c>
      <c r="K882" s="2" t="s">
        <v>2988</v>
      </c>
      <c r="L882" s="3">
        <v>22.09</v>
      </c>
      <c r="M882" s="3">
        <v>23.19</v>
      </c>
      <c r="N882" s="3">
        <v>46.99</v>
      </c>
      <c r="O882" s="2" t="s">
        <v>95</v>
      </c>
      <c r="P882" s="2" t="s">
        <v>2989</v>
      </c>
      <c r="Q882" s="2" t="s">
        <v>97</v>
      </c>
      <c r="R882" s="2" t="s">
        <v>98</v>
      </c>
      <c r="S882" s="2" t="s">
        <v>2990</v>
      </c>
      <c r="T882" s="2" t="s">
        <v>2951</v>
      </c>
      <c r="U882" s="2" t="s">
        <v>1494</v>
      </c>
      <c r="V882" s="2" t="s">
        <v>101</v>
      </c>
      <c r="W882" s="2" t="s">
        <v>335</v>
      </c>
      <c r="X882" s="2" t="s">
        <v>103</v>
      </c>
      <c r="Y882" s="2" t="s">
        <v>98</v>
      </c>
      <c r="Z882" s="4"/>
      <c r="AA882" s="4">
        <f>=ROUNDDOWN({0},0)</f>
      </c>
      <c r="AB882" s="5"/>
      <c r="AC882" s="2" t="s">
        <v>98</v>
      </c>
      <c r="AD882" s="4"/>
      <c r="AE882" s="4"/>
      <c r="AF882" s="6">
        <v>64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98</v>
      </c>
      <c r="AW882" s="8" t="s">
        <v>98</v>
      </c>
      <c r="AX882" s="4" t="s">
        <v>98</v>
      </c>
      <c r="AY882" s="8" t="s">
        <v>98</v>
      </c>
      <c r="AZ882" s="7" t="s">
        <v>98</v>
      </c>
      <c r="BA882" s="7" t="s">
        <v>98</v>
      </c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 t="s">
        <v>98</v>
      </c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1437</v>
      </c>
      <c r="BV882" s="2" t="s">
        <v>95</v>
      </c>
      <c r="BW882" s="2" t="s">
        <v>98</v>
      </c>
      <c r="BX882" s="2" t="s">
        <v>98</v>
      </c>
      <c r="BY882" s="2" t="s">
        <v>111</v>
      </c>
    </row>
    <row r="883">
      <c r="A883" s="2" t="s">
        <v>2992</v>
      </c>
      <c r="B883" s="2" t="s">
        <v>86</v>
      </c>
      <c r="C883" s="2" t="s">
        <v>2944</v>
      </c>
      <c r="D883" s="2" t="s">
        <v>88</v>
      </c>
      <c r="E883" s="2" t="s">
        <v>1597</v>
      </c>
      <c r="F883" s="2" t="s">
        <v>2945</v>
      </c>
      <c r="G883" s="2" t="s">
        <v>2946</v>
      </c>
      <c r="H883" s="2" t="s">
        <v>2947</v>
      </c>
      <c r="I883" s="2" t="s">
        <v>2948</v>
      </c>
      <c r="J883" s="2" t="s">
        <v>2955</v>
      </c>
      <c r="K883" s="2" t="s">
        <v>2738</v>
      </c>
      <c r="L883" s="3">
        <v>19.32</v>
      </c>
      <c r="M883" s="3">
        <v>20.29</v>
      </c>
      <c r="N883" s="3">
        <v>41.99</v>
      </c>
      <c r="O883" s="2" t="s">
        <v>95</v>
      </c>
      <c r="P883" s="2" t="s">
        <v>2989</v>
      </c>
      <c r="Q883" s="2" t="s">
        <v>97</v>
      </c>
      <c r="R883" s="2" t="s">
        <v>98</v>
      </c>
      <c r="S883" s="2" t="s">
        <v>2993</v>
      </c>
      <c r="T883" s="2" t="s">
        <v>2951</v>
      </c>
      <c r="U883" s="2" t="s">
        <v>1494</v>
      </c>
      <c r="V883" s="2" t="s">
        <v>101</v>
      </c>
      <c r="W883" s="2" t="s">
        <v>335</v>
      </c>
      <c r="X883" s="2" t="s">
        <v>103</v>
      </c>
      <c r="Y883" s="2" t="s">
        <v>98</v>
      </c>
      <c r="Z883" s="4"/>
      <c r="AA883" s="4">
        <f>=ROUNDDOWN({0},0)</f>
      </c>
      <c r="AB883" s="5"/>
      <c r="AC883" s="2" t="s">
        <v>98</v>
      </c>
      <c r="AD883" s="4"/>
      <c r="AE883" s="4"/>
      <c r="AF883" s="6">
        <v>64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98</v>
      </c>
      <c r="AW883" s="8" t="s">
        <v>98</v>
      </c>
      <c r="AX883" s="4" t="s">
        <v>98</v>
      </c>
      <c r="AY883" s="8" t="s">
        <v>98</v>
      </c>
      <c r="AZ883" s="7" t="s">
        <v>98</v>
      </c>
      <c r="BA883" s="7" t="s">
        <v>98</v>
      </c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 t="s">
        <v>98</v>
      </c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1437</v>
      </c>
      <c r="BV883" s="2" t="s">
        <v>95</v>
      </c>
      <c r="BW883" s="2" t="s">
        <v>98</v>
      </c>
      <c r="BX883" s="2" t="s">
        <v>98</v>
      </c>
      <c r="BY883" s="2" t="s">
        <v>111</v>
      </c>
    </row>
    <row r="884">
      <c r="A884" s="2" t="s">
        <v>2994</v>
      </c>
      <c r="B884" s="2" t="s">
        <v>86</v>
      </c>
      <c r="C884" s="2" t="s">
        <v>2944</v>
      </c>
      <c r="D884" s="2" t="s">
        <v>88</v>
      </c>
      <c r="E884" s="2" t="s">
        <v>1597</v>
      </c>
      <c r="F884" s="2" t="s">
        <v>2945</v>
      </c>
      <c r="G884" s="2" t="s">
        <v>2946</v>
      </c>
      <c r="H884" s="2" t="s">
        <v>2947</v>
      </c>
      <c r="I884" s="2" t="s">
        <v>2948</v>
      </c>
      <c r="J884" s="2" t="s">
        <v>2959</v>
      </c>
      <c r="K884" s="2" t="s">
        <v>2738</v>
      </c>
      <c r="L884" s="3">
        <v>22.09</v>
      </c>
      <c r="M884" s="3">
        <v>23.19</v>
      </c>
      <c r="N884" s="3">
        <v>46.99</v>
      </c>
      <c r="O884" s="2" t="s">
        <v>95</v>
      </c>
      <c r="P884" s="2" t="s">
        <v>2989</v>
      </c>
      <c r="Q884" s="2" t="s">
        <v>97</v>
      </c>
      <c r="R884" s="2" t="s">
        <v>98</v>
      </c>
      <c r="S884" s="2" t="s">
        <v>2993</v>
      </c>
      <c r="T884" s="2" t="s">
        <v>2951</v>
      </c>
      <c r="U884" s="2" t="s">
        <v>1494</v>
      </c>
      <c r="V884" s="2" t="s">
        <v>101</v>
      </c>
      <c r="W884" s="2" t="s">
        <v>335</v>
      </c>
      <c r="X884" s="2" t="s">
        <v>103</v>
      </c>
      <c r="Y884" s="2" t="s">
        <v>98</v>
      </c>
      <c r="Z884" s="4"/>
      <c r="AA884" s="4">
        <f>=ROUNDDOWN({0},0)</f>
      </c>
      <c r="AB884" s="5"/>
      <c r="AC884" s="2" t="s">
        <v>98</v>
      </c>
      <c r="AD884" s="4"/>
      <c r="AE884" s="4"/>
      <c r="AF884" s="6">
        <v>64</v>
      </c>
      <c r="AG884" s="6"/>
      <c r="AH884" s="7">
        <v>0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98</v>
      </c>
      <c r="AW884" s="8" t="s">
        <v>98</v>
      </c>
      <c r="AX884" s="4" t="s">
        <v>98</v>
      </c>
      <c r="AY884" s="8" t="s">
        <v>98</v>
      </c>
      <c r="AZ884" s="7" t="s">
        <v>98</v>
      </c>
      <c r="BA884" s="7" t="s">
        <v>98</v>
      </c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 t="s">
        <v>98</v>
      </c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1437</v>
      </c>
      <c r="BV884" s="2" t="s">
        <v>95</v>
      </c>
      <c r="BW884" s="2" t="s">
        <v>98</v>
      </c>
      <c r="BX884" s="2" t="s">
        <v>98</v>
      </c>
      <c r="BY884" s="2" t="s">
        <v>111</v>
      </c>
    </row>
    <row r="885">
      <c r="A885" s="2" t="s">
        <v>2995</v>
      </c>
      <c r="B885" s="2" t="s">
        <v>86</v>
      </c>
      <c r="C885" s="2" t="s">
        <v>2996</v>
      </c>
      <c r="D885" s="2" t="s">
        <v>88</v>
      </c>
      <c r="E885" s="2" t="s">
        <v>88</v>
      </c>
      <c r="F885" s="2" t="s">
        <v>2997</v>
      </c>
      <c r="G885" s="2" t="s">
        <v>2998</v>
      </c>
      <c r="H885" s="2" t="s">
        <v>90</v>
      </c>
      <c r="I885" s="2" t="s">
        <v>2999</v>
      </c>
      <c r="J885" s="2" t="s">
        <v>331</v>
      </c>
      <c r="K885" s="2" t="s">
        <v>748</v>
      </c>
      <c r="L885" s="3">
        <v>16.25</v>
      </c>
      <c r="M885" s="3">
        <v>17.06</v>
      </c>
      <c r="N885" s="3">
        <v>34.99</v>
      </c>
      <c r="O885" s="2" t="s">
        <v>95</v>
      </c>
      <c r="P885" s="2" t="s">
        <v>150</v>
      </c>
      <c r="Q885" s="2" t="s">
        <v>97</v>
      </c>
      <c r="R885" s="2" t="s">
        <v>98</v>
      </c>
      <c r="S885" s="2" t="s">
        <v>3000</v>
      </c>
      <c r="T885" s="2" t="s">
        <v>98</v>
      </c>
      <c r="U885" s="2" t="s">
        <v>100</v>
      </c>
      <c r="V885" s="2" t="s">
        <v>3001</v>
      </c>
      <c r="W885" s="2" t="s">
        <v>567</v>
      </c>
      <c r="X885" s="2" t="s">
        <v>130</v>
      </c>
      <c r="Y885" s="2" t="s">
        <v>169</v>
      </c>
      <c r="Z885" s="4">
        <v>164</v>
      </c>
      <c r="AA885" s="4">
        <f>=ROUNDDOWN(16.4,0)</f>
      </c>
      <c r="AB885" s="5">
        <v>10</v>
      </c>
      <c r="AC885" s="2" t="s">
        <v>489</v>
      </c>
      <c r="AD885" s="4">
        <v>64</v>
      </c>
      <c r="AE885" s="4">
        <v>64</v>
      </c>
      <c r="AF885" s="6">
        <v>65</v>
      </c>
      <c r="AG885" s="6"/>
      <c r="AH885" s="7">
        <v>0.9556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15</v>
      </c>
      <c r="AQ885" s="8">
        <v>268.8</v>
      </c>
      <c r="AR885" s="4"/>
      <c r="AS885" s="8"/>
      <c r="AT885" s="7"/>
      <c r="AU885" s="7"/>
      <c r="AV885" s="4">
        <v>25</v>
      </c>
      <c r="AW885" s="8">
        <v>471.4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>
        <v>0.5702</v>
      </c>
      <c r="BC885" s="4">
        <v>25</v>
      </c>
      <c r="BD885" s="8">
        <v>471.4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>
        <v>1</v>
      </c>
      <c r="BJ885" s="4">
        <v>93</v>
      </c>
      <c r="BK885" s="8">
        <v>1712.56</v>
      </c>
      <c r="BL885" s="2" t="s">
        <v>3002</v>
      </c>
      <c r="BM885" s="7">
        <v>0.1613</v>
      </c>
      <c r="BN885" s="7">
        <v>0.157</v>
      </c>
      <c r="BO885" s="4">
        <v>15</v>
      </c>
      <c r="BP885" s="8">
        <v>268.8</v>
      </c>
      <c r="BQ885" s="4"/>
      <c r="BR885" s="8"/>
      <c r="BS885" s="7"/>
      <c r="BT885" s="7"/>
      <c r="BU885" s="2" t="s">
        <v>107</v>
      </c>
      <c r="BV885" s="2" t="s">
        <v>108</v>
      </c>
      <c r="BW885" s="2" t="s">
        <v>2920</v>
      </c>
      <c r="BX885" s="2" t="s">
        <v>3003</v>
      </c>
      <c r="BY885" s="2" t="s">
        <v>111</v>
      </c>
    </row>
    <row r="886">
      <c r="A886" s="2" t="s">
        <v>3004</v>
      </c>
      <c r="B886" s="2" t="s">
        <v>86</v>
      </c>
      <c r="C886" s="2" t="s">
        <v>2996</v>
      </c>
      <c r="D886" s="2" t="s">
        <v>88</v>
      </c>
      <c r="E886" s="2" t="s">
        <v>88</v>
      </c>
      <c r="F886" s="2" t="s">
        <v>2997</v>
      </c>
      <c r="G886" s="2" t="s">
        <v>2998</v>
      </c>
      <c r="H886" s="2" t="s">
        <v>90</v>
      </c>
      <c r="I886" s="2" t="s">
        <v>2999</v>
      </c>
      <c r="J886" s="2" t="s">
        <v>93</v>
      </c>
      <c r="K886" s="2" t="s">
        <v>748</v>
      </c>
      <c r="L886" s="3">
        <v>18.38</v>
      </c>
      <c r="M886" s="3">
        <v>19.3</v>
      </c>
      <c r="N886" s="3">
        <v>39.99</v>
      </c>
      <c r="O886" s="2" t="s">
        <v>95</v>
      </c>
      <c r="P886" s="2" t="s">
        <v>150</v>
      </c>
      <c r="Q886" s="2" t="s">
        <v>97</v>
      </c>
      <c r="R886" s="2" t="s">
        <v>98</v>
      </c>
      <c r="S886" s="2" t="s">
        <v>3000</v>
      </c>
      <c r="T886" s="2" t="s">
        <v>98</v>
      </c>
      <c r="U886" s="2" t="s">
        <v>100</v>
      </c>
      <c r="V886" s="2" t="s">
        <v>3001</v>
      </c>
      <c r="W886" s="2" t="s">
        <v>567</v>
      </c>
      <c r="X886" s="2" t="s">
        <v>130</v>
      </c>
      <c r="Y886" s="2" t="s">
        <v>169</v>
      </c>
      <c r="Z886" s="4">
        <v>314</v>
      </c>
      <c r="AA886" s="4">
        <f>=ROUNDDOWN(19.625,0)</f>
      </c>
      <c r="AB886" s="5">
        <v>16</v>
      </c>
      <c r="AC886" s="2" t="s">
        <v>489</v>
      </c>
      <c r="AD886" s="4">
        <v>200</v>
      </c>
      <c r="AE886" s="4">
        <v>200</v>
      </c>
      <c r="AF886" s="6">
        <v>65</v>
      </c>
      <c r="AG886" s="6"/>
      <c r="AH886" s="7">
        <v>0.9556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10</v>
      </c>
      <c r="AQ886" s="8">
        <v>202.6</v>
      </c>
      <c r="AR886" s="4"/>
      <c r="AS886" s="8"/>
      <c r="AT886" s="7"/>
      <c r="AU886" s="7"/>
      <c r="AV886" s="4" t="s">
        <v>98</v>
      </c>
      <c r="AW886" s="8" t="s">
        <v>98</v>
      </c>
      <c r="AX886" s="4" t="s">
        <v>98</v>
      </c>
      <c r="AY886" s="8" t="s">
        <v>98</v>
      </c>
      <c r="AZ886" s="7" t="s">
        <v>98</v>
      </c>
      <c r="BA886" s="7" t="s">
        <v>98</v>
      </c>
      <c r="BB886" s="7">
        <v>0.4298</v>
      </c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 t="s">
        <v>98</v>
      </c>
      <c r="BJ886" s="4">
        <v>120</v>
      </c>
      <c r="BK886" s="8">
        <v>2366.96</v>
      </c>
      <c r="BL886" s="2" t="s">
        <v>581</v>
      </c>
      <c r="BM886" s="7">
        <v>0.0833</v>
      </c>
      <c r="BN886" s="7">
        <v>0.0856</v>
      </c>
      <c r="BO886" s="4">
        <v>10</v>
      </c>
      <c r="BP886" s="8">
        <v>202.6</v>
      </c>
      <c r="BQ886" s="4"/>
      <c r="BR886" s="8"/>
      <c r="BS886" s="7"/>
      <c r="BT886" s="7"/>
      <c r="BU886" s="2" t="s">
        <v>107</v>
      </c>
      <c r="BV886" s="2" t="s">
        <v>108</v>
      </c>
      <c r="BW886" s="2" t="s">
        <v>2920</v>
      </c>
      <c r="BX886" s="2" t="s">
        <v>3005</v>
      </c>
      <c r="BY886" s="2" t="s">
        <v>111</v>
      </c>
    </row>
    <row r="887">
      <c r="A887" s="2" t="s">
        <v>3006</v>
      </c>
      <c r="B887" s="2" t="s">
        <v>86</v>
      </c>
      <c r="C887" s="2" t="s">
        <v>2996</v>
      </c>
      <c r="D887" s="2" t="s">
        <v>88</v>
      </c>
      <c r="E887" s="2" t="s">
        <v>88</v>
      </c>
      <c r="F887" s="2" t="s">
        <v>3007</v>
      </c>
      <c r="G887" s="2" t="s">
        <v>3008</v>
      </c>
      <c r="H887" s="2" t="s">
        <v>3009</v>
      </c>
      <c r="I887" s="2" t="s">
        <v>3010</v>
      </c>
      <c r="J887" s="2" t="s">
        <v>331</v>
      </c>
      <c r="K887" s="2" t="s">
        <v>2693</v>
      </c>
      <c r="L887" s="3">
        <v>14.35</v>
      </c>
      <c r="M887" s="3">
        <v>15.07</v>
      </c>
      <c r="N887" s="3">
        <v>34.99</v>
      </c>
      <c r="O887" s="2" t="s">
        <v>95</v>
      </c>
      <c r="P887" s="2" t="s">
        <v>150</v>
      </c>
      <c r="Q887" s="2" t="s">
        <v>97</v>
      </c>
      <c r="R887" s="2" t="s">
        <v>98</v>
      </c>
      <c r="S887" s="2" t="s">
        <v>3011</v>
      </c>
      <c r="T887" s="2" t="s">
        <v>98</v>
      </c>
      <c r="U887" s="2" t="s">
        <v>98</v>
      </c>
      <c r="V887" s="2" t="s">
        <v>3001</v>
      </c>
      <c r="W887" s="2" t="s">
        <v>567</v>
      </c>
      <c r="X887" s="2" t="s">
        <v>2150</v>
      </c>
      <c r="Y887" s="2" t="s">
        <v>3012</v>
      </c>
      <c r="Z887" s="4">
        <v>127</v>
      </c>
      <c r="AA887" s="4">
        <f>=ROUNDDOWN(6.68421052631579,0)</f>
      </c>
      <c r="AB887" s="5">
        <v>19</v>
      </c>
      <c r="AC887" s="2" t="s">
        <v>373</v>
      </c>
      <c r="AD887" s="4">
        <v>8</v>
      </c>
      <c r="AE887" s="4">
        <v>372</v>
      </c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>
        <v>9</v>
      </c>
      <c r="AQ887" s="8">
        <v>138.6</v>
      </c>
      <c r="AR887" s="4">
        <v>44</v>
      </c>
      <c r="AS887" s="8">
        <v>545.6</v>
      </c>
      <c r="AT887" s="7">
        <v>-0.7955</v>
      </c>
      <c r="AU887" s="7">
        <v>-0.746</v>
      </c>
      <c r="AV887" s="4">
        <v>25</v>
      </c>
      <c r="AW887" s="8">
        <v>420.2</v>
      </c>
      <c r="AX887" s="4">
        <v>111</v>
      </c>
      <c r="AY887" s="8">
        <v>1482.93</v>
      </c>
      <c r="AZ887" s="7">
        <v>-0.7748</v>
      </c>
      <c r="BA887" s="7">
        <v>-0.7166</v>
      </c>
      <c r="BB887" s="7">
        <v>0.3298</v>
      </c>
      <c r="BC887" s="4">
        <v>25</v>
      </c>
      <c r="BD887" s="8">
        <v>420.2</v>
      </c>
      <c r="BE887" s="4">
        <v>111</v>
      </c>
      <c r="BF887" s="8">
        <v>1482.93</v>
      </c>
      <c r="BG887" s="7">
        <v>-0.7748</v>
      </c>
      <c r="BH887" s="7">
        <v>-0.7166</v>
      </c>
      <c r="BI887" s="7">
        <v>1</v>
      </c>
      <c r="BJ887" s="4">
        <v>212</v>
      </c>
      <c r="BK887" s="8">
        <v>3181.34</v>
      </c>
      <c r="BL887" s="2" t="s">
        <v>392</v>
      </c>
      <c r="BM887" s="7">
        <v>0.0425</v>
      </c>
      <c r="BN887" s="7">
        <v>0.0436</v>
      </c>
      <c r="BO887" s="4">
        <v>9</v>
      </c>
      <c r="BP887" s="8">
        <v>138.6</v>
      </c>
      <c r="BQ887" s="4">
        <v>44</v>
      </c>
      <c r="BR887" s="8">
        <v>545.6</v>
      </c>
      <c r="BS887" s="7">
        <v>-0.7955</v>
      </c>
      <c r="BT887" s="7">
        <v>-0.746</v>
      </c>
      <c r="BU887" s="2" t="s">
        <v>107</v>
      </c>
      <c r="BV887" s="2" t="s">
        <v>108</v>
      </c>
      <c r="BW887" s="2" t="s">
        <v>659</v>
      </c>
      <c r="BX887" s="2" t="s">
        <v>1979</v>
      </c>
      <c r="BY887" s="2" t="s">
        <v>111</v>
      </c>
    </row>
    <row r="888">
      <c r="A888" s="2" t="s">
        <v>3013</v>
      </c>
      <c r="B888" s="2" t="s">
        <v>86</v>
      </c>
      <c r="C888" s="2" t="s">
        <v>2996</v>
      </c>
      <c r="D888" s="2" t="s">
        <v>88</v>
      </c>
      <c r="E888" s="2" t="s">
        <v>88</v>
      </c>
      <c r="F888" s="2" t="s">
        <v>3007</v>
      </c>
      <c r="G888" s="2" t="s">
        <v>3008</v>
      </c>
      <c r="H888" s="2" t="s">
        <v>3009</v>
      </c>
      <c r="I888" s="2" t="s">
        <v>3010</v>
      </c>
      <c r="J888" s="2" t="s">
        <v>93</v>
      </c>
      <c r="K888" s="2" t="s">
        <v>2693</v>
      </c>
      <c r="L888" s="3">
        <v>16.8</v>
      </c>
      <c r="M888" s="3">
        <v>17.64</v>
      </c>
      <c r="N888" s="3">
        <v>39.99</v>
      </c>
      <c r="O888" s="2" t="s">
        <v>95</v>
      </c>
      <c r="P888" s="2" t="s">
        <v>150</v>
      </c>
      <c r="Q888" s="2" t="s">
        <v>97</v>
      </c>
      <c r="R888" s="2" t="s">
        <v>98</v>
      </c>
      <c r="S888" s="2" t="s">
        <v>3011</v>
      </c>
      <c r="T888" s="2" t="s">
        <v>98</v>
      </c>
      <c r="U888" s="2" t="s">
        <v>98</v>
      </c>
      <c r="V888" s="2" t="s">
        <v>3001</v>
      </c>
      <c r="W888" s="2" t="s">
        <v>567</v>
      </c>
      <c r="X888" s="2" t="s">
        <v>2150</v>
      </c>
      <c r="Y888" s="2" t="s">
        <v>3012</v>
      </c>
      <c r="Z888" s="4">
        <v>204</v>
      </c>
      <c r="AA888" s="4">
        <f>=ROUNDDOWN(17,0)</f>
      </c>
      <c r="AB888" s="5">
        <v>12</v>
      </c>
      <c r="AC888" s="2" t="s">
        <v>373</v>
      </c>
      <c r="AD888" s="4">
        <v>100</v>
      </c>
      <c r="AE888" s="4">
        <v>196</v>
      </c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16</v>
      </c>
      <c r="AQ888" s="8">
        <v>281.6</v>
      </c>
      <c r="AR888" s="4">
        <v>67</v>
      </c>
      <c r="AS888" s="8">
        <v>937.33</v>
      </c>
      <c r="AT888" s="7">
        <v>-0.7612</v>
      </c>
      <c r="AU888" s="7">
        <v>-0.6996</v>
      </c>
      <c r="AV888" s="4" t="s">
        <v>98</v>
      </c>
      <c r="AW888" s="8" t="s">
        <v>98</v>
      </c>
      <c r="AX888" s="4" t="s">
        <v>98</v>
      </c>
      <c r="AY888" s="8" t="s">
        <v>98</v>
      </c>
      <c r="AZ888" s="7" t="s">
        <v>98</v>
      </c>
      <c r="BA888" s="7" t="s">
        <v>98</v>
      </c>
      <c r="BB888" s="7">
        <v>0.6702</v>
      </c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 t="s">
        <v>98</v>
      </c>
      <c r="BJ888" s="4">
        <v>177</v>
      </c>
      <c r="BK888" s="8">
        <v>2991.13</v>
      </c>
      <c r="BL888" s="2" t="s">
        <v>3014</v>
      </c>
      <c r="BM888" s="7">
        <v>0.0904</v>
      </c>
      <c r="BN888" s="7">
        <v>0.0941</v>
      </c>
      <c r="BO888" s="4">
        <v>16</v>
      </c>
      <c r="BP888" s="8">
        <v>281.6</v>
      </c>
      <c r="BQ888" s="4">
        <v>67</v>
      </c>
      <c r="BR888" s="8">
        <v>937.33</v>
      </c>
      <c r="BS888" s="7">
        <v>-0.7612</v>
      </c>
      <c r="BT888" s="7">
        <v>-0.6996</v>
      </c>
      <c r="BU888" s="2" t="s">
        <v>107</v>
      </c>
      <c r="BV888" s="2" t="s">
        <v>108</v>
      </c>
      <c r="BW888" s="2" t="s">
        <v>659</v>
      </c>
      <c r="BX888" s="2" t="s">
        <v>1454</v>
      </c>
      <c r="BY888" s="2" t="s">
        <v>111</v>
      </c>
    </row>
    <row r="889">
      <c r="A889" s="2" t="s">
        <v>3015</v>
      </c>
      <c r="B889" s="2" t="s">
        <v>86</v>
      </c>
      <c r="C889" s="2" t="s">
        <v>3016</v>
      </c>
      <c r="D889" s="2" t="s">
        <v>88</v>
      </c>
      <c r="E889" s="2" t="s">
        <v>88</v>
      </c>
      <c r="F889" s="2" t="s">
        <v>612</v>
      </c>
      <c r="G889" s="2" t="s">
        <v>3017</v>
      </c>
      <c r="H889" s="2" t="s">
        <v>3018</v>
      </c>
      <c r="I889" s="2" t="s">
        <v>3019</v>
      </c>
      <c r="J889" s="2" t="s">
        <v>809</v>
      </c>
      <c r="K889" s="2" t="s">
        <v>400</v>
      </c>
      <c r="L889" s="3">
        <v>15.18</v>
      </c>
      <c r="M889" s="3">
        <v>15.94</v>
      </c>
      <c r="N889" s="3">
        <v>32.99</v>
      </c>
      <c r="O889" s="2" t="s">
        <v>241</v>
      </c>
      <c r="P889" s="2" t="s">
        <v>215</v>
      </c>
      <c r="Q889" s="2" t="s">
        <v>97</v>
      </c>
      <c r="R889" s="2" t="s">
        <v>98</v>
      </c>
      <c r="S889" s="2" t="s">
        <v>3020</v>
      </c>
      <c r="T889" s="2" t="s">
        <v>1672</v>
      </c>
      <c r="U889" s="2" t="s">
        <v>100</v>
      </c>
      <c r="V889" s="2" t="s">
        <v>101</v>
      </c>
      <c r="W889" s="2" t="s">
        <v>567</v>
      </c>
      <c r="X889" s="2" t="s">
        <v>1373</v>
      </c>
      <c r="Y889" s="2" t="s">
        <v>1691</v>
      </c>
      <c r="Z889" s="4">
        <v>3</v>
      </c>
      <c r="AA889" s="4">
        <f>=ROUNDDOWN(0.0443131462333826,0)</f>
      </c>
      <c r="AB889" s="5">
        <v>67.7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>
        <v>11</v>
      </c>
      <c r="AS889" s="8">
        <v>154</v>
      </c>
      <c r="AT889" s="7">
        <v>-1</v>
      </c>
      <c r="AU889" s="7">
        <v>-1</v>
      </c>
      <c r="AV889" s="4">
        <v>21</v>
      </c>
      <c r="AW889" s="8">
        <v>279.5</v>
      </c>
      <c r="AX889" s="4">
        <v>55</v>
      </c>
      <c r="AY889" s="8">
        <v>940.09</v>
      </c>
      <c r="AZ889" s="7">
        <v>-0.6182</v>
      </c>
      <c r="BA889" s="7">
        <v>-0.7027</v>
      </c>
      <c r="BB889" s="7"/>
      <c r="BC889" s="4">
        <v>53</v>
      </c>
      <c r="BD889" s="8">
        <v>739.75</v>
      </c>
      <c r="BE889" s="4">
        <v>192</v>
      </c>
      <c r="BF889" s="8">
        <v>3213.61</v>
      </c>
      <c r="BG889" s="7">
        <v>-0.724</v>
      </c>
      <c r="BH889" s="7">
        <v>-0.7698</v>
      </c>
      <c r="BI889" s="7">
        <v>0.3778</v>
      </c>
      <c r="BJ889" s="4">
        <v>57</v>
      </c>
      <c r="BK889" s="8">
        <v>771.47</v>
      </c>
      <c r="BL889" s="2" t="s">
        <v>716</v>
      </c>
      <c r="BM889" s="7"/>
      <c r="BN889" s="7"/>
      <c r="BO889" s="4"/>
      <c r="BP889" s="8"/>
      <c r="BQ889" s="4">
        <v>11</v>
      </c>
      <c r="BR889" s="8">
        <v>154</v>
      </c>
      <c r="BS889" s="7">
        <v>-1</v>
      </c>
      <c r="BT889" s="7">
        <v>-1</v>
      </c>
      <c r="BU889" s="2" t="s">
        <v>211</v>
      </c>
      <c r="BV889" s="2" t="s">
        <v>352</v>
      </c>
      <c r="BW889" s="2" t="s">
        <v>524</v>
      </c>
      <c r="BX889" s="2" t="s">
        <v>3021</v>
      </c>
      <c r="BY889" s="2" t="s">
        <v>354</v>
      </c>
    </row>
    <row r="890">
      <c r="A890" s="2" t="s">
        <v>3022</v>
      </c>
      <c r="B890" s="2" t="s">
        <v>86</v>
      </c>
      <c r="C890" s="2" t="s">
        <v>3016</v>
      </c>
      <c r="D890" s="2" t="s">
        <v>88</v>
      </c>
      <c r="E890" s="2" t="s">
        <v>88</v>
      </c>
      <c r="F890" s="2" t="s">
        <v>612</v>
      </c>
      <c r="G890" s="2" t="s">
        <v>3017</v>
      </c>
      <c r="H890" s="2" t="s">
        <v>3018</v>
      </c>
      <c r="I890" s="2" t="s">
        <v>3019</v>
      </c>
      <c r="J890" s="2" t="s">
        <v>814</v>
      </c>
      <c r="K890" s="2" t="s">
        <v>400</v>
      </c>
      <c r="L890" s="3">
        <v>17.86</v>
      </c>
      <c r="M890" s="3">
        <v>18.75</v>
      </c>
      <c r="N890" s="3">
        <v>37.99</v>
      </c>
      <c r="O890" s="2" t="s">
        <v>368</v>
      </c>
      <c r="P890" s="2" t="s">
        <v>215</v>
      </c>
      <c r="Q890" s="2" t="s">
        <v>97</v>
      </c>
      <c r="R890" s="2" t="s">
        <v>98</v>
      </c>
      <c r="S890" s="2" t="s">
        <v>3020</v>
      </c>
      <c r="T890" s="2" t="s">
        <v>1672</v>
      </c>
      <c r="U890" s="2" t="s">
        <v>100</v>
      </c>
      <c r="V890" s="2" t="s">
        <v>101</v>
      </c>
      <c r="W890" s="2" t="s">
        <v>567</v>
      </c>
      <c r="X890" s="2" t="s">
        <v>1373</v>
      </c>
      <c r="Y890" s="2" t="s">
        <v>1691</v>
      </c>
      <c r="Z890" s="4"/>
      <c r="AA890" s="4">
        <f>=ROUNDDOWN({0},0)</f>
      </c>
      <c r="AB890" s="5">
        <v>1</v>
      </c>
      <c r="AC890" s="2" t="s">
        <v>98</v>
      </c>
      <c r="AD890" s="4"/>
      <c r="AE890" s="4"/>
      <c r="AF890" s="6">
        <v>65</v>
      </c>
      <c r="AG890" s="6"/>
      <c r="AH890" s="7">
        <v>0.9778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>
        <v>15</v>
      </c>
      <c r="AS890" s="8">
        <v>244.95</v>
      </c>
      <c r="AT890" s="7">
        <v>-1</v>
      </c>
      <c r="AU890" s="7">
        <v>-1</v>
      </c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 t="s">
        <v>98</v>
      </c>
      <c r="BJ890" s="4">
        <v>5</v>
      </c>
      <c r="BK890" s="8">
        <v>60.95</v>
      </c>
      <c r="BL890" s="2" t="s">
        <v>3023</v>
      </c>
      <c r="BM890" s="7"/>
      <c r="BN890" s="7"/>
      <c r="BO890" s="4"/>
      <c r="BP890" s="8"/>
      <c r="BQ890" s="4">
        <v>15</v>
      </c>
      <c r="BR890" s="8">
        <v>244.95</v>
      </c>
      <c r="BS890" s="7">
        <v>-1</v>
      </c>
      <c r="BT890" s="7">
        <v>-1</v>
      </c>
      <c r="BU890" s="2" t="s">
        <v>211</v>
      </c>
      <c r="BV890" s="2" t="s">
        <v>352</v>
      </c>
      <c r="BW890" s="2" t="s">
        <v>524</v>
      </c>
      <c r="BX890" s="2" t="s">
        <v>2360</v>
      </c>
      <c r="BY890" s="2" t="s">
        <v>354</v>
      </c>
    </row>
    <row r="891">
      <c r="A891" s="2" t="s">
        <v>3024</v>
      </c>
      <c r="B891" s="2" t="s">
        <v>86</v>
      </c>
      <c r="C891" s="2" t="s">
        <v>3016</v>
      </c>
      <c r="D891" s="2" t="s">
        <v>88</v>
      </c>
      <c r="E891" s="2" t="s">
        <v>88</v>
      </c>
      <c r="F891" s="2" t="s">
        <v>612</v>
      </c>
      <c r="G891" s="2" t="s">
        <v>3017</v>
      </c>
      <c r="H891" s="2" t="s">
        <v>3018</v>
      </c>
      <c r="I891" s="2" t="s">
        <v>3019</v>
      </c>
      <c r="J891" s="2" t="s">
        <v>1513</v>
      </c>
      <c r="K891" s="2" t="s">
        <v>400</v>
      </c>
      <c r="L891" s="3">
        <v>20.21</v>
      </c>
      <c r="M891" s="3">
        <v>21.22</v>
      </c>
      <c r="N891" s="3">
        <v>42.99</v>
      </c>
      <c r="O891" s="2" t="s">
        <v>241</v>
      </c>
      <c r="P891" s="2" t="s">
        <v>215</v>
      </c>
      <c r="Q891" s="2" t="s">
        <v>97</v>
      </c>
      <c r="R891" s="2" t="s">
        <v>98</v>
      </c>
      <c r="S891" s="2" t="s">
        <v>3020</v>
      </c>
      <c r="T891" s="2" t="s">
        <v>1672</v>
      </c>
      <c r="U891" s="2" t="s">
        <v>100</v>
      </c>
      <c r="V891" s="2" t="s">
        <v>101</v>
      </c>
      <c r="W891" s="2" t="s">
        <v>567</v>
      </c>
      <c r="X891" s="2" t="s">
        <v>1373</v>
      </c>
      <c r="Y891" s="2" t="s">
        <v>1691</v>
      </c>
      <c r="Z891" s="4"/>
      <c r="AA891" s="4">
        <f>=ROUNDDOWN({0},0)</f>
      </c>
      <c r="AB891" s="5">
        <v>1.1</v>
      </c>
      <c r="AC891" s="2" t="s">
        <v>98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>
        <v>21</v>
      </c>
      <c r="AQ891" s="8">
        <v>279.5</v>
      </c>
      <c r="AR891" s="4">
        <v>29</v>
      </c>
      <c r="AS891" s="8">
        <v>541.14</v>
      </c>
      <c r="AT891" s="7">
        <v>-0.2759</v>
      </c>
      <c r="AU891" s="7">
        <v>-0.4835</v>
      </c>
      <c r="AV891" s="4" t="s">
        <v>98</v>
      </c>
      <c r="AW891" s="8" t="s">
        <v>98</v>
      </c>
      <c r="AX891" s="4" t="s">
        <v>98</v>
      </c>
      <c r="AY891" s="8" t="s">
        <v>98</v>
      </c>
      <c r="AZ891" s="7" t="s">
        <v>98</v>
      </c>
      <c r="BA891" s="7" t="s">
        <v>98</v>
      </c>
      <c r="BB891" s="7">
        <v>1</v>
      </c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 t="s">
        <v>98</v>
      </c>
      <c r="BJ891" s="4">
        <v>57</v>
      </c>
      <c r="BK891" s="8">
        <v>935.09</v>
      </c>
      <c r="BL891" s="2" t="s">
        <v>3025</v>
      </c>
      <c r="BM891" s="7">
        <v>0.3684</v>
      </c>
      <c r="BN891" s="7">
        <v>0.2989</v>
      </c>
      <c r="BO891" s="4">
        <v>21</v>
      </c>
      <c r="BP891" s="8">
        <v>279.5</v>
      </c>
      <c r="BQ891" s="4">
        <v>29</v>
      </c>
      <c r="BR891" s="8">
        <v>541.14</v>
      </c>
      <c r="BS891" s="7">
        <v>-0.2759</v>
      </c>
      <c r="BT891" s="7">
        <v>-0.4835</v>
      </c>
      <c r="BU891" s="2" t="s">
        <v>211</v>
      </c>
      <c r="BV891" s="2" t="s">
        <v>352</v>
      </c>
      <c r="BW891" s="2" t="s">
        <v>524</v>
      </c>
      <c r="BX891" s="2" t="s">
        <v>1445</v>
      </c>
      <c r="BY891" s="2" t="s">
        <v>354</v>
      </c>
    </row>
    <row r="892">
      <c r="A892" s="2" t="s">
        <v>3026</v>
      </c>
      <c r="B892" s="2" t="s">
        <v>86</v>
      </c>
      <c r="C892" s="2" t="s">
        <v>3016</v>
      </c>
      <c r="D892" s="2" t="s">
        <v>88</v>
      </c>
      <c r="E892" s="2" t="s">
        <v>88</v>
      </c>
      <c r="F892" s="2" t="s">
        <v>612</v>
      </c>
      <c r="G892" s="2" t="s">
        <v>3017</v>
      </c>
      <c r="H892" s="2" t="s">
        <v>3018</v>
      </c>
      <c r="I892" s="2" t="s">
        <v>3019</v>
      </c>
      <c r="J892" s="2" t="s">
        <v>809</v>
      </c>
      <c r="K892" s="2" t="s">
        <v>748</v>
      </c>
      <c r="L892" s="3">
        <v>15.18</v>
      </c>
      <c r="M892" s="3">
        <v>15.94</v>
      </c>
      <c r="N892" s="3">
        <v>32.99</v>
      </c>
      <c r="O892" s="2" t="s">
        <v>241</v>
      </c>
      <c r="P892" s="2" t="s">
        <v>215</v>
      </c>
      <c r="Q892" s="2" t="s">
        <v>97</v>
      </c>
      <c r="R892" s="2" t="s">
        <v>98</v>
      </c>
      <c r="S892" s="2" t="s">
        <v>3027</v>
      </c>
      <c r="T892" s="2" t="s">
        <v>1672</v>
      </c>
      <c r="U892" s="2" t="s">
        <v>100</v>
      </c>
      <c r="V892" s="2" t="s">
        <v>101</v>
      </c>
      <c r="W892" s="2" t="s">
        <v>567</v>
      </c>
      <c r="X892" s="2" t="s">
        <v>1373</v>
      </c>
      <c r="Y892" s="2" t="s">
        <v>1691</v>
      </c>
      <c r="Z892" s="4">
        <v>2</v>
      </c>
      <c r="AA892" s="4">
        <f>=ROUNDDOWN(0.273972602739726,0)</f>
      </c>
      <c r="AB892" s="5">
        <v>7.3</v>
      </c>
      <c r="AC892" s="2" t="s">
        <v>98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7</v>
      </c>
      <c r="AQ892" s="8">
        <v>57.75</v>
      </c>
      <c r="AR892" s="4">
        <v>2</v>
      </c>
      <c r="AS892" s="8">
        <v>28</v>
      </c>
      <c r="AT892" s="7">
        <v>2.5</v>
      </c>
      <c r="AU892" s="7">
        <v>1.0625</v>
      </c>
      <c r="AV892" s="4">
        <v>20</v>
      </c>
      <c r="AW892" s="8">
        <v>251.25</v>
      </c>
      <c r="AX892" s="4">
        <v>67</v>
      </c>
      <c r="AY892" s="8">
        <v>1138.38</v>
      </c>
      <c r="AZ892" s="7">
        <v>-0.7015</v>
      </c>
      <c r="BA892" s="7">
        <v>-0.7793</v>
      </c>
      <c r="BB892" s="7">
        <v>0.2299</v>
      </c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>
        <v>0.3396</v>
      </c>
      <c r="BJ892" s="4">
        <v>27</v>
      </c>
      <c r="BK892" s="8">
        <v>304.61</v>
      </c>
      <c r="BL892" s="2" t="s">
        <v>3028</v>
      </c>
      <c r="BM892" s="7">
        <v>0.2593</v>
      </c>
      <c r="BN892" s="7">
        <v>0.1896</v>
      </c>
      <c r="BO892" s="4">
        <v>7</v>
      </c>
      <c r="BP892" s="8">
        <v>57.75</v>
      </c>
      <c r="BQ892" s="4">
        <v>2</v>
      </c>
      <c r="BR892" s="8">
        <v>28</v>
      </c>
      <c r="BS892" s="7">
        <v>2.5</v>
      </c>
      <c r="BT892" s="7">
        <v>1.0625</v>
      </c>
      <c r="BU892" s="2" t="s">
        <v>211</v>
      </c>
      <c r="BV892" s="2" t="s">
        <v>352</v>
      </c>
      <c r="BW892" s="2" t="s">
        <v>524</v>
      </c>
      <c r="BX892" s="2" t="s">
        <v>766</v>
      </c>
      <c r="BY892" s="2" t="s">
        <v>354</v>
      </c>
    </row>
    <row r="893">
      <c r="A893" s="2" t="s">
        <v>3029</v>
      </c>
      <c r="B893" s="2" t="s">
        <v>86</v>
      </c>
      <c r="C893" s="2" t="s">
        <v>3016</v>
      </c>
      <c r="D893" s="2" t="s">
        <v>88</v>
      </c>
      <c r="E893" s="2" t="s">
        <v>88</v>
      </c>
      <c r="F893" s="2" t="s">
        <v>612</v>
      </c>
      <c r="G893" s="2" t="s">
        <v>3017</v>
      </c>
      <c r="H893" s="2" t="s">
        <v>3018</v>
      </c>
      <c r="I893" s="2" t="s">
        <v>3019</v>
      </c>
      <c r="J893" s="2" t="s">
        <v>814</v>
      </c>
      <c r="K893" s="2" t="s">
        <v>748</v>
      </c>
      <c r="L893" s="3">
        <v>17.86</v>
      </c>
      <c r="M893" s="3">
        <v>18.75</v>
      </c>
      <c r="N893" s="3">
        <v>37.99</v>
      </c>
      <c r="O893" s="2" t="s">
        <v>368</v>
      </c>
      <c r="P893" s="2" t="s">
        <v>215</v>
      </c>
      <c r="Q893" s="2" t="s">
        <v>97</v>
      </c>
      <c r="R893" s="2" t="s">
        <v>98</v>
      </c>
      <c r="S893" s="2" t="s">
        <v>3027</v>
      </c>
      <c r="T893" s="2" t="s">
        <v>1672</v>
      </c>
      <c r="U893" s="2" t="s">
        <v>100</v>
      </c>
      <c r="V893" s="2" t="s">
        <v>101</v>
      </c>
      <c r="W893" s="2" t="s">
        <v>567</v>
      </c>
      <c r="X893" s="2" t="s">
        <v>1373</v>
      </c>
      <c r="Y893" s="2" t="s">
        <v>1691</v>
      </c>
      <c r="Z893" s="4"/>
      <c r="AA893" s="4">
        <f>=ROUNDDOWN({0},0)</f>
      </c>
      <c r="AB893" s="5">
        <v>0.2</v>
      </c>
      <c r="AC893" s="2" t="s">
        <v>98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>
        <v>44</v>
      </c>
      <c r="AS893" s="8">
        <v>718.52</v>
      </c>
      <c r="AT893" s="7">
        <v>-1</v>
      </c>
      <c r="AU893" s="7">
        <v>-1</v>
      </c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 t="s">
        <v>98</v>
      </c>
      <c r="BJ893" s="4"/>
      <c r="BK893" s="8"/>
      <c r="BL893" s="2" t="s">
        <v>2457</v>
      </c>
      <c r="BM893" s="7"/>
      <c r="BN893" s="7"/>
      <c r="BO893" s="4"/>
      <c r="BP893" s="8"/>
      <c r="BQ893" s="4">
        <v>44</v>
      </c>
      <c r="BR893" s="8">
        <v>718.52</v>
      </c>
      <c r="BS893" s="7">
        <v>-1</v>
      </c>
      <c r="BT893" s="7">
        <v>-1</v>
      </c>
      <c r="BU893" s="2" t="s">
        <v>211</v>
      </c>
      <c r="BV893" s="2" t="s">
        <v>352</v>
      </c>
      <c r="BW893" s="2" t="s">
        <v>524</v>
      </c>
      <c r="BX893" s="2" t="s">
        <v>1223</v>
      </c>
      <c r="BY893" s="2" t="s">
        <v>354</v>
      </c>
    </row>
    <row r="894">
      <c r="A894" s="2" t="s">
        <v>3030</v>
      </c>
      <c r="B894" s="2" t="s">
        <v>86</v>
      </c>
      <c r="C894" s="2" t="s">
        <v>3016</v>
      </c>
      <c r="D894" s="2" t="s">
        <v>88</v>
      </c>
      <c r="E894" s="2" t="s">
        <v>88</v>
      </c>
      <c r="F894" s="2" t="s">
        <v>612</v>
      </c>
      <c r="G894" s="2" t="s">
        <v>3017</v>
      </c>
      <c r="H894" s="2" t="s">
        <v>3018</v>
      </c>
      <c r="I894" s="2" t="s">
        <v>3019</v>
      </c>
      <c r="J894" s="2" t="s">
        <v>1513</v>
      </c>
      <c r="K894" s="2" t="s">
        <v>748</v>
      </c>
      <c r="L894" s="3">
        <v>20.21</v>
      </c>
      <c r="M894" s="3">
        <v>21.22</v>
      </c>
      <c r="N894" s="3">
        <v>42.99</v>
      </c>
      <c r="O894" s="2" t="s">
        <v>368</v>
      </c>
      <c r="P894" s="2" t="s">
        <v>215</v>
      </c>
      <c r="Q894" s="2" t="s">
        <v>97</v>
      </c>
      <c r="R894" s="2" t="s">
        <v>98</v>
      </c>
      <c r="S894" s="2" t="s">
        <v>3027</v>
      </c>
      <c r="T894" s="2" t="s">
        <v>1672</v>
      </c>
      <c r="U894" s="2" t="s">
        <v>100</v>
      </c>
      <c r="V894" s="2" t="s">
        <v>101</v>
      </c>
      <c r="W894" s="2" t="s">
        <v>567</v>
      </c>
      <c r="X894" s="2" t="s">
        <v>1373</v>
      </c>
      <c r="Y894" s="2" t="s">
        <v>1691</v>
      </c>
      <c r="Z894" s="4">
        <v>4</v>
      </c>
      <c r="AA894" s="4">
        <f>=ROUNDDOWN(1.42857142857143,0)</f>
      </c>
      <c r="AB894" s="5">
        <v>2.8</v>
      </c>
      <c r="AC894" s="2" t="s">
        <v>98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13</v>
      </c>
      <c r="AQ894" s="8">
        <v>193.5</v>
      </c>
      <c r="AR894" s="4">
        <v>21</v>
      </c>
      <c r="AS894" s="8">
        <v>391.86</v>
      </c>
      <c r="AT894" s="7">
        <v>-0.381</v>
      </c>
      <c r="AU894" s="7">
        <v>-0.5062</v>
      </c>
      <c r="AV894" s="4" t="s">
        <v>98</v>
      </c>
      <c r="AW894" s="8" t="s">
        <v>98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>
        <v>0.7701</v>
      </c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 t="s">
        <v>98</v>
      </c>
      <c r="BJ894" s="4">
        <v>65</v>
      </c>
      <c r="BK894" s="8">
        <v>1017.4</v>
      </c>
      <c r="BL894" s="2" t="s">
        <v>3031</v>
      </c>
      <c r="BM894" s="7">
        <v>0.2</v>
      </c>
      <c r="BN894" s="7">
        <v>0.1902</v>
      </c>
      <c r="BO894" s="4">
        <v>13</v>
      </c>
      <c r="BP894" s="8">
        <v>193.5</v>
      </c>
      <c r="BQ894" s="4">
        <v>21</v>
      </c>
      <c r="BR894" s="8">
        <v>391.86</v>
      </c>
      <c r="BS894" s="7">
        <v>-0.381</v>
      </c>
      <c r="BT894" s="7">
        <v>-0.5062</v>
      </c>
      <c r="BU894" s="2" t="s">
        <v>211</v>
      </c>
      <c r="BV894" s="2" t="s">
        <v>352</v>
      </c>
      <c r="BW894" s="2" t="s">
        <v>524</v>
      </c>
      <c r="BX894" s="2" t="s">
        <v>1454</v>
      </c>
      <c r="BY894" s="2" t="s">
        <v>354</v>
      </c>
    </row>
    <row r="895">
      <c r="A895" s="2" t="s">
        <v>3032</v>
      </c>
      <c r="B895" s="2" t="s">
        <v>86</v>
      </c>
      <c r="C895" s="2" t="s">
        <v>3016</v>
      </c>
      <c r="D895" s="2" t="s">
        <v>88</v>
      </c>
      <c r="E895" s="2" t="s">
        <v>88</v>
      </c>
      <c r="F895" s="2" t="s">
        <v>612</v>
      </c>
      <c r="G895" s="2" t="s">
        <v>3017</v>
      </c>
      <c r="H895" s="2" t="s">
        <v>3018</v>
      </c>
      <c r="I895" s="2" t="s">
        <v>3019</v>
      </c>
      <c r="J895" s="2" t="s">
        <v>809</v>
      </c>
      <c r="K895" s="2" t="s">
        <v>458</v>
      </c>
      <c r="L895" s="3">
        <v>15.18</v>
      </c>
      <c r="M895" s="3">
        <v>15.94</v>
      </c>
      <c r="N895" s="3">
        <v>32.99</v>
      </c>
      <c r="O895" s="2" t="s">
        <v>241</v>
      </c>
      <c r="P895" s="2" t="s">
        <v>215</v>
      </c>
      <c r="Q895" s="2" t="s">
        <v>97</v>
      </c>
      <c r="R895" s="2" t="s">
        <v>98</v>
      </c>
      <c r="S895" s="2" t="s">
        <v>3033</v>
      </c>
      <c r="T895" s="2" t="s">
        <v>1672</v>
      </c>
      <c r="U895" s="2" t="s">
        <v>100</v>
      </c>
      <c r="V895" s="2" t="s">
        <v>101</v>
      </c>
      <c r="W895" s="2" t="s">
        <v>567</v>
      </c>
      <c r="X895" s="2" t="s">
        <v>1373</v>
      </c>
      <c r="Y895" s="2" t="s">
        <v>1691</v>
      </c>
      <c r="Z895" s="4">
        <v>3</v>
      </c>
      <c r="AA895" s="4">
        <f>=ROUNDDOWN(0.173410404624277,0)</f>
      </c>
      <c r="AB895" s="5">
        <v>17.3</v>
      </c>
      <c r="AC895" s="2" t="s">
        <v>98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>
        <v>6</v>
      </c>
      <c r="AS895" s="8">
        <v>84</v>
      </c>
      <c r="AT895" s="7">
        <v>-1</v>
      </c>
      <c r="AU895" s="7">
        <v>-1</v>
      </c>
      <c r="AV895" s="4">
        <v>12</v>
      </c>
      <c r="AW895" s="8">
        <v>209</v>
      </c>
      <c r="AX895" s="4">
        <v>16</v>
      </c>
      <c r="AY895" s="8">
        <v>256.62</v>
      </c>
      <c r="AZ895" s="7">
        <v>-0.25</v>
      </c>
      <c r="BA895" s="7">
        <v>-0.1856</v>
      </c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>
        <v>0.2825</v>
      </c>
      <c r="BJ895" s="4">
        <v>30</v>
      </c>
      <c r="BK895" s="8">
        <v>378.64</v>
      </c>
      <c r="BL895" s="2" t="s">
        <v>351</v>
      </c>
      <c r="BM895" s="7"/>
      <c r="BN895" s="7"/>
      <c r="BO895" s="4"/>
      <c r="BP895" s="8"/>
      <c r="BQ895" s="4">
        <v>6</v>
      </c>
      <c r="BR895" s="8">
        <v>84</v>
      </c>
      <c r="BS895" s="7">
        <v>-1</v>
      </c>
      <c r="BT895" s="7">
        <v>-1</v>
      </c>
      <c r="BU895" s="2" t="s">
        <v>211</v>
      </c>
      <c r="BV895" s="2" t="s">
        <v>352</v>
      </c>
      <c r="BW895" s="2" t="s">
        <v>524</v>
      </c>
      <c r="BX895" s="2" t="s">
        <v>766</v>
      </c>
      <c r="BY895" s="2" t="s">
        <v>354</v>
      </c>
    </row>
    <row r="896">
      <c r="A896" s="2" t="s">
        <v>3034</v>
      </c>
      <c r="B896" s="2" t="s">
        <v>86</v>
      </c>
      <c r="C896" s="2" t="s">
        <v>3016</v>
      </c>
      <c r="D896" s="2" t="s">
        <v>88</v>
      </c>
      <c r="E896" s="2" t="s">
        <v>88</v>
      </c>
      <c r="F896" s="2" t="s">
        <v>612</v>
      </c>
      <c r="G896" s="2" t="s">
        <v>3017</v>
      </c>
      <c r="H896" s="2" t="s">
        <v>3018</v>
      </c>
      <c r="I896" s="2" t="s">
        <v>3019</v>
      </c>
      <c r="J896" s="2" t="s">
        <v>814</v>
      </c>
      <c r="K896" s="2" t="s">
        <v>458</v>
      </c>
      <c r="L896" s="3">
        <v>17.86</v>
      </c>
      <c r="M896" s="3">
        <v>18.75</v>
      </c>
      <c r="N896" s="3">
        <v>37.99</v>
      </c>
      <c r="O896" s="2" t="s">
        <v>241</v>
      </c>
      <c r="P896" s="2" t="s">
        <v>215</v>
      </c>
      <c r="Q896" s="2" t="s">
        <v>97</v>
      </c>
      <c r="R896" s="2" t="s">
        <v>98</v>
      </c>
      <c r="S896" s="2" t="s">
        <v>3033</v>
      </c>
      <c r="T896" s="2" t="s">
        <v>1672</v>
      </c>
      <c r="U896" s="2" t="s">
        <v>100</v>
      </c>
      <c r="V896" s="2" t="s">
        <v>101</v>
      </c>
      <c r="W896" s="2" t="s">
        <v>567</v>
      </c>
      <c r="X896" s="2" t="s">
        <v>1373</v>
      </c>
      <c r="Y896" s="2" t="s">
        <v>1691</v>
      </c>
      <c r="Z896" s="4"/>
      <c r="AA896" s="4">
        <f>=ROUNDDOWN({0},0)</f>
      </c>
      <c r="AB896" s="5">
        <v>4.4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>
        <v>12</v>
      </c>
      <c r="AQ896" s="8">
        <v>209</v>
      </c>
      <c r="AR896" s="4">
        <v>6</v>
      </c>
      <c r="AS896" s="8">
        <v>97.98</v>
      </c>
      <c r="AT896" s="7">
        <v>1</v>
      </c>
      <c r="AU896" s="7">
        <v>1.1331</v>
      </c>
      <c r="AV896" s="4" t="s">
        <v>98</v>
      </c>
      <c r="AW896" s="8" t="s">
        <v>98</v>
      </c>
      <c r="AX896" s="4" t="s">
        <v>98</v>
      </c>
      <c r="AY896" s="8" t="s">
        <v>98</v>
      </c>
      <c r="AZ896" s="7" t="s">
        <v>98</v>
      </c>
      <c r="BA896" s="7" t="s">
        <v>98</v>
      </c>
      <c r="BB896" s="7">
        <v>1</v>
      </c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 t="s">
        <v>98</v>
      </c>
      <c r="BJ896" s="4">
        <v>31</v>
      </c>
      <c r="BK896" s="8">
        <v>468.68</v>
      </c>
      <c r="BL896" s="2" t="s">
        <v>3035</v>
      </c>
      <c r="BM896" s="7">
        <v>0.3871</v>
      </c>
      <c r="BN896" s="7">
        <v>0.4459</v>
      </c>
      <c r="BO896" s="4">
        <v>12</v>
      </c>
      <c r="BP896" s="8">
        <v>209</v>
      </c>
      <c r="BQ896" s="4">
        <v>6</v>
      </c>
      <c r="BR896" s="8">
        <v>97.98</v>
      </c>
      <c r="BS896" s="7">
        <v>1</v>
      </c>
      <c r="BT896" s="7">
        <v>1.1331</v>
      </c>
      <c r="BU896" s="2" t="s">
        <v>211</v>
      </c>
      <c r="BV896" s="2" t="s">
        <v>352</v>
      </c>
      <c r="BW896" s="2" t="s">
        <v>524</v>
      </c>
      <c r="BX896" s="2" t="s">
        <v>1452</v>
      </c>
      <c r="BY896" s="2" t="s">
        <v>354</v>
      </c>
    </row>
    <row r="897">
      <c r="A897" s="2" t="s">
        <v>3036</v>
      </c>
      <c r="B897" s="2" t="s">
        <v>86</v>
      </c>
      <c r="C897" s="2" t="s">
        <v>3016</v>
      </c>
      <c r="D897" s="2" t="s">
        <v>88</v>
      </c>
      <c r="E897" s="2" t="s">
        <v>88</v>
      </c>
      <c r="F897" s="2" t="s">
        <v>612</v>
      </c>
      <c r="G897" s="2" t="s">
        <v>3017</v>
      </c>
      <c r="H897" s="2" t="s">
        <v>3018</v>
      </c>
      <c r="I897" s="2" t="s">
        <v>3019</v>
      </c>
      <c r="J897" s="2" t="s">
        <v>1513</v>
      </c>
      <c r="K897" s="2" t="s">
        <v>458</v>
      </c>
      <c r="L897" s="3">
        <v>20.21</v>
      </c>
      <c r="M897" s="3">
        <v>21.22</v>
      </c>
      <c r="N897" s="3">
        <v>42.99</v>
      </c>
      <c r="O897" s="2" t="s">
        <v>368</v>
      </c>
      <c r="P897" s="2" t="s">
        <v>215</v>
      </c>
      <c r="Q897" s="2" t="s">
        <v>97</v>
      </c>
      <c r="R897" s="2" t="s">
        <v>98</v>
      </c>
      <c r="S897" s="2" t="s">
        <v>3033</v>
      </c>
      <c r="T897" s="2" t="s">
        <v>1672</v>
      </c>
      <c r="U897" s="2" t="s">
        <v>100</v>
      </c>
      <c r="V897" s="2" t="s">
        <v>101</v>
      </c>
      <c r="W897" s="2" t="s">
        <v>567</v>
      </c>
      <c r="X897" s="2" t="s">
        <v>1373</v>
      </c>
      <c r="Y897" s="2" t="s">
        <v>1691</v>
      </c>
      <c r="Z897" s="4"/>
      <c r="AA897" s="4">
        <f>=ROUNDDOWN({0},0)</f>
      </c>
      <c r="AB897" s="5">
        <v>0.8</v>
      </c>
      <c r="AC897" s="2" t="s">
        <v>98</v>
      </c>
      <c r="AD897" s="4"/>
      <c r="AE897" s="4"/>
      <c r="AF897" s="6">
        <v>65</v>
      </c>
      <c r="AG897" s="6"/>
      <c r="AH897" s="7">
        <v>0.3667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>
        <v>4</v>
      </c>
      <c r="AS897" s="8">
        <v>74.64</v>
      </c>
      <c r="AT897" s="7">
        <v>-1</v>
      </c>
      <c r="AU897" s="7">
        <v>-1</v>
      </c>
      <c r="AV897" s="4" t="s">
        <v>98</v>
      </c>
      <c r="AW897" s="8" t="s">
        <v>98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 t="s">
        <v>98</v>
      </c>
      <c r="BJ897" s="4"/>
      <c r="BK897" s="8"/>
      <c r="BL897" s="2" t="s">
        <v>588</v>
      </c>
      <c r="BM897" s="7"/>
      <c r="BN897" s="7"/>
      <c r="BO897" s="4"/>
      <c r="BP897" s="8"/>
      <c r="BQ897" s="4">
        <v>4</v>
      </c>
      <c r="BR897" s="8">
        <v>74.64</v>
      </c>
      <c r="BS897" s="7">
        <v>-1</v>
      </c>
      <c r="BT897" s="7">
        <v>-1</v>
      </c>
      <c r="BU897" s="2" t="s">
        <v>211</v>
      </c>
      <c r="BV897" s="2" t="s">
        <v>352</v>
      </c>
      <c r="BW897" s="2" t="s">
        <v>524</v>
      </c>
      <c r="BX897" s="2" t="s">
        <v>3037</v>
      </c>
      <c r="BY897" s="2" t="s">
        <v>354</v>
      </c>
    </row>
    <row r="898">
      <c r="A898" s="2" t="s">
        <v>3038</v>
      </c>
      <c r="B898" s="2" t="s">
        <v>86</v>
      </c>
      <c r="C898" s="2" t="s">
        <v>3016</v>
      </c>
      <c r="D898" s="2" t="s">
        <v>88</v>
      </c>
      <c r="E898" s="2" t="s">
        <v>88</v>
      </c>
      <c r="F898" s="2" t="s">
        <v>612</v>
      </c>
      <c r="G898" s="2" t="s">
        <v>3017</v>
      </c>
      <c r="H898" s="2" t="s">
        <v>3018</v>
      </c>
      <c r="I898" s="2" t="s">
        <v>3019</v>
      </c>
      <c r="J898" s="2" t="s">
        <v>809</v>
      </c>
      <c r="K898" s="2" t="s">
        <v>247</v>
      </c>
      <c r="L898" s="3">
        <v>15.18</v>
      </c>
      <c r="M898" s="3">
        <v>15.94</v>
      </c>
      <c r="N898" s="3">
        <v>32.99</v>
      </c>
      <c r="O898" s="2" t="s">
        <v>368</v>
      </c>
      <c r="P898" s="2" t="s">
        <v>215</v>
      </c>
      <c r="Q898" s="2" t="s">
        <v>97</v>
      </c>
      <c r="R898" s="2" t="s">
        <v>98</v>
      </c>
      <c r="S898" s="2" t="s">
        <v>3039</v>
      </c>
      <c r="T898" s="2" t="s">
        <v>1672</v>
      </c>
      <c r="U898" s="2" t="s">
        <v>100</v>
      </c>
      <c r="V898" s="2" t="s">
        <v>101</v>
      </c>
      <c r="W898" s="2" t="s">
        <v>567</v>
      </c>
      <c r="X898" s="2" t="s">
        <v>1373</v>
      </c>
      <c r="Y898" s="2" t="s">
        <v>3040</v>
      </c>
      <c r="Z898" s="4"/>
      <c r="AA898" s="4">
        <f>=ROUNDDOWN({0},0)</f>
      </c>
      <c r="AB898" s="5">
        <v>0.4</v>
      </c>
      <c r="AC898" s="2" t="s">
        <v>98</v>
      </c>
      <c r="AD898" s="4"/>
      <c r="AE898" s="4"/>
      <c r="AF898" s="6"/>
      <c r="AG898" s="6"/>
      <c r="AH898" s="7">
        <v>0.4222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>
        <v>16</v>
      </c>
      <c r="AS898" s="8">
        <v>236.96</v>
      </c>
      <c r="AT898" s="7">
        <v>-1</v>
      </c>
      <c r="AU898" s="7">
        <v>-1</v>
      </c>
      <c r="AV898" s="4" t="s">
        <v>98</v>
      </c>
      <c r="AW898" s="8" t="s">
        <v>98</v>
      </c>
      <c r="AX898" s="4">
        <v>26</v>
      </c>
      <c r="AY898" s="8">
        <v>419.54</v>
      </c>
      <c r="AZ898" s="7" t="s">
        <v>98</v>
      </c>
      <c r="BA898" s="7" t="s">
        <v>98</v>
      </c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 t="s">
        <v>98</v>
      </c>
      <c r="BJ898" s="4">
        <v>2</v>
      </c>
      <c r="BK898" s="8">
        <v>59.38</v>
      </c>
      <c r="BL898" s="2" t="s">
        <v>3041</v>
      </c>
      <c r="BM898" s="7"/>
      <c r="BN898" s="7"/>
      <c r="BO898" s="4"/>
      <c r="BP898" s="8"/>
      <c r="BQ898" s="4">
        <v>16</v>
      </c>
      <c r="BR898" s="8">
        <v>236.96</v>
      </c>
      <c r="BS898" s="7">
        <v>-1</v>
      </c>
      <c r="BT898" s="7">
        <v>-1</v>
      </c>
      <c r="BU898" s="2" t="s">
        <v>211</v>
      </c>
      <c r="BV898" s="2" t="s">
        <v>352</v>
      </c>
      <c r="BW898" s="2" t="s">
        <v>801</v>
      </c>
      <c r="BX898" s="2" t="s">
        <v>3042</v>
      </c>
      <c r="BY898" s="2" t="s">
        <v>111</v>
      </c>
    </row>
    <row r="899">
      <c r="A899" s="2" t="s">
        <v>3043</v>
      </c>
      <c r="B899" s="2" t="s">
        <v>86</v>
      </c>
      <c r="C899" s="2" t="s">
        <v>3016</v>
      </c>
      <c r="D899" s="2" t="s">
        <v>88</v>
      </c>
      <c r="E899" s="2" t="s">
        <v>88</v>
      </c>
      <c r="F899" s="2" t="s">
        <v>612</v>
      </c>
      <c r="G899" s="2" t="s">
        <v>3017</v>
      </c>
      <c r="H899" s="2" t="s">
        <v>3018</v>
      </c>
      <c r="I899" s="2" t="s">
        <v>3019</v>
      </c>
      <c r="J899" s="2" t="s">
        <v>814</v>
      </c>
      <c r="K899" s="2" t="s">
        <v>247</v>
      </c>
      <c r="L899" s="3">
        <v>17.86</v>
      </c>
      <c r="M899" s="3">
        <v>18.75</v>
      </c>
      <c r="N899" s="3">
        <v>37.99</v>
      </c>
      <c r="O899" s="2" t="s">
        <v>368</v>
      </c>
      <c r="P899" s="2" t="s">
        <v>215</v>
      </c>
      <c r="Q899" s="2" t="s">
        <v>97</v>
      </c>
      <c r="R899" s="2" t="s">
        <v>98</v>
      </c>
      <c r="S899" s="2" t="s">
        <v>3039</v>
      </c>
      <c r="T899" s="2" t="s">
        <v>1672</v>
      </c>
      <c r="U899" s="2" t="s">
        <v>100</v>
      </c>
      <c r="V899" s="2" t="s">
        <v>101</v>
      </c>
      <c r="W899" s="2" t="s">
        <v>567</v>
      </c>
      <c r="X899" s="2" t="s">
        <v>1373</v>
      </c>
      <c r="Y899" s="2" t="s">
        <v>3040</v>
      </c>
      <c r="Z899" s="4"/>
      <c r="AA899" s="4">
        <f>=ROUNDDOWN({0},0)</f>
      </c>
      <c r="AB899" s="5"/>
      <c r="AC899" s="2" t="s">
        <v>98</v>
      </c>
      <c r="AD899" s="4"/>
      <c r="AE899" s="4"/>
      <c r="AF899" s="6"/>
      <c r="AG899" s="6"/>
      <c r="AH899" s="7">
        <v>0.4222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>
        <v>6</v>
      </c>
      <c r="AS899" s="8">
        <v>103.62</v>
      </c>
      <c r="AT899" s="7">
        <v>-1</v>
      </c>
      <c r="AU899" s="7">
        <v>-1</v>
      </c>
      <c r="AV899" s="4" t="s">
        <v>98</v>
      </c>
      <c r="AW899" s="8" t="s">
        <v>98</v>
      </c>
      <c r="AX899" s="4" t="s">
        <v>98</v>
      </c>
      <c r="AY899" s="8" t="s">
        <v>98</v>
      </c>
      <c r="AZ899" s="7" t="s">
        <v>98</v>
      </c>
      <c r="BA899" s="7" t="s">
        <v>98</v>
      </c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 t="s">
        <v>98</v>
      </c>
      <c r="BJ899" s="4"/>
      <c r="BK899" s="8"/>
      <c r="BL899" s="2" t="s">
        <v>588</v>
      </c>
      <c r="BM899" s="7"/>
      <c r="BN899" s="7"/>
      <c r="BO899" s="4"/>
      <c r="BP899" s="8"/>
      <c r="BQ899" s="4">
        <v>6</v>
      </c>
      <c r="BR899" s="8">
        <v>103.62</v>
      </c>
      <c r="BS899" s="7">
        <v>-1</v>
      </c>
      <c r="BT899" s="7">
        <v>-1</v>
      </c>
      <c r="BU899" s="2" t="s">
        <v>211</v>
      </c>
      <c r="BV899" s="2" t="s">
        <v>352</v>
      </c>
      <c r="BW899" s="2" t="s">
        <v>801</v>
      </c>
      <c r="BX899" s="2" t="s">
        <v>967</v>
      </c>
      <c r="BY899" s="2" t="s">
        <v>111</v>
      </c>
    </row>
    <row r="900">
      <c r="A900" s="2" t="s">
        <v>3044</v>
      </c>
      <c r="B900" s="2" t="s">
        <v>86</v>
      </c>
      <c r="C900" s="2" t="s">
        <v>3016</v>
      </c>
      <c r="D900" s="2" t="s">
        <v>88</v>
      </c>
      <c r="E900" s="2" t="s">
        <v>88</v>
      </c>
      <c r="F900" s="2" t="s">
        <v>612</v>
      </c>
      <c r="G900" s="2" t="s">
        <v>3017</v>
      </c>
      <c r="H900" s="2" t="s">
        <v>3018</v>
      </c>
      <c r="I900" s="2" t="s">
        <v>3019</v>
      </c>
      <c r="J900" s="2" t="s">
        <v>1513</v>
      </c>
      <c r="K900" s="2" t="s">
        <v>247</v>
      </c>
      <c r="L900" s="3">
        <v>20.21</v>
      </c>
      <c r="M900" s="3">
        <v>21.22</v>
      </c>
      <c r="N900" s="3">
        <v>42.99</v>
      </c>
      <c r="O900" s="2" t="s">
        <v>368</v>
      </c>
      <c r="P900" s="2" t="s">
        <v>215</v>
      </c>
      <c r="Q900" s="2" t="s">
        <v>97</v>
      </c>
      <c r="R900" s="2" t="s">
        <v>98</v>
      </c>
      <c r="S900" s="2" t="s">
        <v>3039</v>
      </c>
      <c r="T900" s="2" t="s">
        <v>1672</v>
      </c>
      <c r="U900" s="2" t="s">
        <v>100</v>
      </c>
      <c r="V900" s="2" t="s">
        <v>101</v>
      </c>
      <c r="W900" s="2" t="s">
        <v>567</v>
      </c>
      <c r="X900" s="2" t="s">
        <v>1373</v>
      </c>
      <c r="Y900" s="2" t="s">
        <v>3040</v>
      </c>
      <c r="Z900" s="4"/>
      <c r="AA900" s="4">
        <f>=ROUNDDOWN({0},0)</f>
      </c>
      <c r="AB900" s="5">
        <v>0.4</v>
      </c>
      <c r="AC900" s="2" t="s">
        <v>98</v>
      </c>
      <c r="AD900" s="4"/>
      <c r="AE900" s="4"/>
      <c r="AF900" s="6"/>
      <c r="AG900" s="6"/>
      <c r="AH900" s="7">
        <v>0.4444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>
        <v>4</v>
      </c>
      <c r="AS900" s="8">
        <v>78.96</v>
      </c>
      <c r="AT900" s="7">
        <v>-1</v>
      </c>
      <c r="AU900" s="7">
        <v>-1</v>
      </c>
      <c r="AV900" s="4" t="s">
        <v>98</v>
      </c>
      <c r="AW900" s="8" t="s">
        <v>98</v>
      </c>
      <c r="AX900" s="4" t="s">
        <v>98</v>
      </c>
      <c r="AY900" s="8" t="s">
        <v>98</v>
      </c>
      <c r="AZ900" s="7" t="s">
        <v>98</v>
      </c>
      <c r="BA900" s="7" t="s">
        <v>98</v>
      </c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 t="s">
        <v>98</v>
      </c>
      <c r="BJ900" s="4">
        <v>2</v>
      </c>
      <c r="BK900" s="8">
        <v>41.66</v>
      </c>
      <c r="BL900" s="2" t="s">
        <v>2068</v>
      </c>
      <c r="BM900" s="7"/>
      <c r="BN900" s="7"/>
      <c r="BO900" s="4"/>
      <c r="BP900" s="8"/>
      <c r="BQ900" s="4">
        <v>4</v>
      </c>
      <c r="BR900" s="8">
        <v>78.96</v>
      </c>
      <c r="BS900" s="7">
        <v>-1</v>
      </c>
      <c r="BT900" s="7">
        <v>-1</v>
      </c>
      <c r="BU900" s="2" t="s">
        <v>211</v>
      </c>
      <c r="BV900" s="2" t="s">
        <v>352</v>
      </c>
      <c r="BW900" s="2" t="s">
        <v>801</v>
      </c>
      <c r="BX900" s="2" t="s">
        <v>3042</v>
      </c>
      <c r="BY900" s="2" t="s">
        <v>111</v>
      </c>
    </row>
    <row r="901">
      <c r="A901" s="2" t="s">
        <v>3045</v>
      </c>
      <c r="B901" s="2" t="s">
        <v>86</v>
      </c>
      <c r="C901" s="2" t="s">
        <v>3016</v>
      </c>
      <c r="D901" s="2" t="s">
        <v>88</v>
      </c>
      <c r="E901" s="2" t="s">
        <v>88</v>
      </c>
      <c r="F901" s="2" t="s">
        <v>612</v>
      </c>
      <c r="G901" s="2" t="s">
        <v>3017</v>
      </c>
      <c r="H901" s="2" t="s">
        <v>3018</v>
      </c>
      <c r="I901" s="2" t="s">
        <v>3019</v>
      </c>
      <c r="J901" s="2" t="s">
        <v>809</v>
      </c>
      <c r="K901" s="2" t="s">
        <v>1031</v>
      </c>
      <c r="L901" s="3">
        <v>15.18</v>
      </c>
      <c r="M901" s="3">
        <v>15.94</v>
      </c>
      <c r="N901" s="3">
        <v>32.99</v>
      </c>
      <c r="O901" s="2" t="s">
        <v>368</v>
      </c>
      <c r="P901" s="2" t="s">
        <v>215</v>
      </c>
      <c r="Q901" s="2" t="s">
        <v>97</v>
      </c>
      <c r="R901" s="2" t="s">
        <v>98</v>
      </c>
      <c r="S901" s="2" t="s">
        <v>3046</v>
      </c>
      <c r="T901" s="2" t="s">
        <v>1672</v>
      </c>
      <c r="U901" s="2" t="s">
        <v>100</v>
      </c>
      <c r="V901" s="2" t="s">
        <v>101</v>
      </c>
      <c r="W901" s="2" t="s">
        <v>567</v>
      </c>
      <c r="X901" s="2" t="s">
        <v>1373</v>
      </c>
      <c r="Y901" s="2" t="s">
        <v>3040</v>
      </c>
      <c r="Z901" s="4"/>
      <c r="AA901" s="4">
        <f>=ROUNDDOWN({0},0)</f>
      </c>
      <c r="AB901" s="5"/>
      <c r="AC901" s="2" t="s">
        <v>98</v>
      </c>
      <c r="AD901" s="4"/>
      <c r="AE901" s="4"/>
      <c r="AF901" s="6"/>
      <c r="AG901" s="6"/>
      <c r="AH901" s="7">
        <v>0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>
        <v>12</v>
      </c>
      <c r="AS901" s="8">
        <v>177.72</v>
      </c>
      <c r="AT901" s="7">
        <v>-1</v>
      </c>
      <c r="AU901" s="7">
        <v>-1</v>
      </c>
      <c r="AV901" s="4" t="s">
        <v>98</v>
      </c>
      <c r="AW901" s="8" t="s">
        <v>98</v>
      </c>
      <c r="AX901" s="4">
        <v>28</v>
      </c>
      <c r="AY901" s="8">
        <v>458.98</v>
      </c>
      <c r="AZ901" s="7" t="s">
        <v>98</v>
      </c>
      <c r="BA901" s="7" t="s">
        <v>98</v>
      </c>
      <c r="BB901" s="7"/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 t="s">
        <v>98</v>
      </c>
      <c r="BJ901" s="4"/>
      <c r="BK901" s="8"/>
      <c r="BL901" s="2" t="s">
        <v>1771</v>
      </c>
      <c r="BM901" s="7"/>
      <c r="BN901" s="7"/>
      <c r="BO901" s="4"/>
      <c r="BP901" s="8"/>
      <c r="BQ901" s="4">
        <v>12</v>
      </c>
      <c r="BR901" s="8">
        <v>177.72</v>
      </c>
      <c r="BS901" s="7">
        <v>-1</v>
      </c>
      <c r="BT901" s="7">
        <v>-1</v>
      </c>
      <c r="BU901" s="2" t="s">
        <v>211</v>
      </c>
      <c r="BV901" s="2" t="s">
        <v>352</v>
      </c>
      <c r="BW901" s="2" t="s">
        <v>801</v>
      </c>
      <c r="BX901" s="2" t="s">
        <v>802</v>
      </c>
      <c r="BY901" s="2" t="s">
        <v>111</v>
      </c>
    </row>
    <row r="902">
      <c r="A902" s="2" t="s">
        <v>3047</v>
      </c>
      <c r="B902" s="2" t="s">
        <v>86</v>
      </c>
      <c r="C902" s="2" t="s">
        <v>3016</v>
      </c>
      <c r="D902" s="2" t="s">
        <v>88</v>
      </c>
      <c r="E902" s="2" t="s">
        <v>88</v>
      </c>
      <c r="F902" s="2" t="s">
        <v>612</v>
      </c>
      <c r="G902" s="2" t="s">
        <v>3017</v>
      </c>
      <c r="H902" s="2" t="s">
        <v>3018</v>
      </c>
      <c r="I902" s="2" t="s">
        <v>3019</v>
      </c>
      <c r="J902" s="2" t="s">
        <v>814</v>
      </c>
      <c r="K902" s="2" t="s">
        <v>1031</v>
      </c>
      <c r="L902" s="3">
        <v>17.86</v>
      </c>
      <c r="M902" s="3">
        <v>18.75</v>
      </c>
      <c r="N902" s="3">
        <v>37.99</v>
      </c>
      <c r="O902" s="2" t="s">
        <v>368</v>
      </c>
      <c r="P902" s="2" t="s">
        <v>215</v>
      </c>
      <c r="Q902" s="2" t="s">
        <v>97</v>
      </c>
      <c r="R902" s="2" t="s">
        <v>98</v>
      </c>
      <c r="S902" s="2" t="s">
        <v>3046</v>
      </c>
      <c r="T902" s="2" t="s">
        <v>1672</v>
      </c>
      <c r="U902" s="2" t="s">
        <v>100</v>
      </c>
      <c r="V902" s="2" t="s">
        <v>101</v>
      </c>
      <c r="W902" s="2" t="s">
        <v>567</v>
      </c>
      <c r="X902" s="2" t="s">
        <v>1373</v>
      </c>
      <c r="Y902" s="2" t="s">
        <v>3040</v>
      </c>
      <c r="Z902" s="4"/>
      <c r="AA902" s="4">
        <f>=ROUNDDOWN({0},0)</f>
      </c>
      <c r="AB902" s="5"/>
      <c r="AC902" s="2" t="s">
        <v>98</v>
      </c>
      <c r="AD902" s="4"/>
      <c r="AE902" s="4"/>
      <c r="AF902" s="6"/>
      <c r="AG902" s="6"/>
      <c r="AH902" s="7">
        <v>0.3667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>
        <v>14</v>
      </c>
      <c r="AS902" s="8">
        <v>241.78</v>
      </c>
      <c r="AT902" s="7">
        <v>-1</v>
      </c>
      <c r="AU902" s="7">
        <v>-1</v>
      </c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 t="s">
        <v>98</v>
      </c>
      <c r="BJ902" s="4"/>
      <c r="BK902" s="8"/>
      <c r="BL902" s="2" t="s">
        <v>588</v>
      </c>
      <c r="BM902" s="7"/>
      <c r="BN902" s="7"/>
      <c r="BO902" s="4"/>
      <c r="BP902" s="8"/>
      <c r="BQ902" s="4">
        <v>14</v>
      </c>
      <c r="BR902" s="8">
        <v>241.78</v>
      </c>
      <c r="BS902" s="7">
        <v>-1</v>
      </c>
      <c r="BT902" s="7">
        <v>-1</v>
      </c>
      <c r="BU902" s="2" t="s">
        <v>211</v>
      </c>
      <c r="BV902" s="2" t="s">
        <v>352</v>
      </c>
      <c r="BW902" s="2" t="s">
        <v>801</v>
      </c>
      <c r="BX902" s="2" t="s">
        <v>802</v>
      </c>
      <c r="BY902" s="2" t="s">
        <v>111</v>
      </c>
    </row>
    <row r="903">
      <c r="A903" s="2" t="s">
        <v>3048</v>
      </c>
      <c r="B903" s="2" t="s">
        <v>86</v>
      </c>
      <c r="C903" s="2" t="s">
        <v>3016</v>
      </c>
      <c r="D903" s="2" t="s">
        <v>88</v>
      </c>
      <c r="E903" s="2" t="s">
        <v>88</v>
      </c>
      <c r="F903" s="2" t="s">
        <v>612</v>
      </c>
      <c r="G903" s="2" t="s">
        <v>3017</v>
      </c>
      <c r="H903" s="2" t="s">
        <v>3018</v>
      </c>
      <c r="I903" s="2" t="s">
        <v>3019</v>
      </c>
      <c r="J903" s="2" t="s">
        <v>1513</v>
      </c>
      <c r="K903" s="2" t="s">
        <v>1031</v>
      </c>
      <c r="L903" s="3">
        <v>20.21</v>
      </c>
      <c r="M903" s="3">
        <v>21.22</v>
      </c>
      <c r="N903" s="3">
        <v>42.99</v>
      </c>
      <c r="O903" s="2" t="s">
        <v>368</v>
      </c>
      <c r="P903" s="2" t="s">
        <v>215</v>
      </c>
      <c r="Q903" s="2" t="s">
        <v>97</v>
      </c>
      <c r="R903" s="2" t="s">
        <v>98</v>
      </c>
      <c r="S903" s="2" t="s">
        <v>3046</v>
      </c>
      <c r="T903" s="2" t="s">
        <v>1672</v>
      </c>
      <c r="U903" s="2" t="s">
        <v>100</v>
      </c>
      <c r="V903" s="2" t="s">
        <v>101</v>
      </c>
      <c r="W903" s="2" t="s">
        <v>567</v>
      </c>
      <c r="X903" s="2" t="s">
        <v>1373</v>
      </c>
      <c r="Y903" s="2" t="s">
        <v>3040</v>
      </c>
      <c r="Z903" s="4"/>
      <c r="AA903" s="4">
        <f>=ROUNDDOWN({0},0)</f>
      </c>
      <c r="AB903" s="5"/>
      <c r="AC903" s="2" t="s">
        <v>98</v>
      </c>
      <c r="AD903" s="4"/>
      <c r="AE903" s="4"/>
      <c r="AF903" s="6"/>
      <c r="AG903" s="6"/>
      <c r="AH903" s="7">
        <v>0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>
        <v>2</v>
      </c>
      <c r="AS903" s="8">
        <v>39.48</v>
      </c>
      <c r="AT903" s="7">
        <v>-1</v>
      </c>
      <c r="AU903" s="7">
        <v>-1</v>
      </c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 t="s">
        <v>98</v>
      </c>
      <c r="BJ903" s="4"/>
      <c r="BK903" s="8"/>
      <c r="BL903" s="2" t="s">
        <v>1562</v>
      </c>
      <c r="BM903" s="7"/>
      <c r="BN903" s="7"/>
      <c r="BO903" s="4"/>
      <c r="BP903" s="8"/>
      <c r="BQ903" s="4">
        <v>2</v>
      </c>
      <c r="BR903" s="8">
        <v>39.48</v>
      </c>
      <c r="BS903" s="7">
        <v>-1</v>
      </c>
      <c r="BT903" s="7">
        <v>-1</v>
      </c>
      <c r="BU903" s="2" t="s">
        <v>211</v>
      </c>
      <c r="BV903" s="2" t="s">
        <v>352</v>
      </c>
      <c r="BW903" s="2" t="s">
        <v>801</v>
      </c>
      <c r="BX903" s="2" t="s">
        <v>802</v>
      </c>
      <c r="BY903" s="2" t="s">
        <v>111</v>
      </c>
    </row>
    <row r="904">
      <c r="A904" s="2" t="s">
        <v>3049</v>
      </c>
      <c r="B904" s="2" t="s">
        <v>86</v>
      </c>
      <c r="C904" s="2" t="s">
        <v>3016</v>
      </c>
      <c r="D904" s="2" t="s">
        <v>1786</v>
      </c>
      <c r="E904" s="2" t="s">
        <v>1786</v>
      </c>
      <c r="F904" s="2" t="s">
        <v>612</v>
      </c>
      <c r="G904" s="2" t="s">
        <v>3017</v>
      </c>
      <c r="H904" s="2" t="s">
        <v>3018</v>
      </c>
      <c r="I904" s="2" t="s">
        <v>3050</v>
      </c>
      <c r="J904" s="2" t="s">
        <v>1808</v>
      </c>
      <c r="K904" s="2" t="s">
        <v>400</v>
      </c>
      <c r="L904" s="3">
        <v>12.15</v>
      </c>
      <c r="M904" s="3">
        <v>12.76</v>
      </c>
      <c r="N904" s="3">
        <v>26.99</v>
      </c>
      <c r="O904" s="2" t="s">
        <v>241</v>
      </c>
      <c r="P904" s="2" t="s">
        <v>215</v>
      </c>
      <c r="Q904" s="2" t="s">
        <v>97</v>
      </c>
      <c r="R904" s="2" t="s">
        <v>98</v>
      </c>
      <c r="S904" s="2" t="s">
        <v>3020</v>
      </c>
      <c r="T904" s="2" t="s">
        <v>1672</v>
      </c>
      <c r="U904" s="2" t="s">
        <v>100</v>
      </c>
      <c r="V904" s="2" t="s">
        <v>101</v>
      </c>
      <c r="W904" s="2" t="s">
        <v>567</v>
      </c>
      <c r="X904" s="2" t="s">
        <v>1373</v>
      </c>
      <c r="Y904" s="2" t="s">
        <v>1691</v>
      </c>
      <c r="Z904" s="4"/>
      <c r="AA904" s="4">
        <f>=ROUNDDOWN({0},0)</f>
      </c>
      <c r="AB904" s="5">
        <v>3.7</v>
      </c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14</v>
      </c>
      <c r="AQ904" s="8">
        <v>94.5</v>
      </c>
      <c r="AR904" s="4">
        <v>55</v>
      </c>
      <c r="AS904" s="8">
        <v>613.8</v>
      </c>
      <c r="AT904" s="7">
        <v>-0.7455</v>
      </c>
      <c r="AU904" s="7">
        <v>-0.846</v>
      </c>
      <c r="AV904" s="4">
        <v>14</v>
      </c>
      <c r="AW904" s="8">
        <v>94.5</v>
      </c>
      <c r="AX904" s="4">
        <v>55</v>
      </c>
      <c r="AY904" s="8">
        <v>613.8</v>
      </c>
      <c r="AZ904" s="7">
        <v>-0.7455</v>
      </c>
      <c r="BA904" s="7">
        <v>-0.846</v>
      </c>
      <c r="BB904" s="7">
        <v>1</v>
      </c>
      <c r="BC904" s="4">
        <v>14</v>
      </c>
      <c r="BD904" s="8">
        <v>94.5</v>
      </c>
      <c r="BE904" s="4">
        <v>118</v>
      </c>
      <c r="BF904" s="8">
        <v>1340.28</v>
      </c>
      <c r="BG904" s="7">
        <v>-0.8814</v>
      </c>
      <c r="BH904" s="7">
        <v>-0.9295</v>
      </c>
      <c r="BI904" s="7">
        <v>1</v>
      </c>
      <c r="BJ904" s="4">
        <v>58</v>
      </c>
      <c r="BK904" s="8">
        <v>593.37</v>
      </c>
      <c r="BL904" s="2" t="s">
        <v>3051</v>
      </c>
      <c r="BM904" s="7">
        <v>0.2414</v>
      </c>
      <c r="BN904" s="7">
        <v>0.1593</v>
      </c>
      <c r="BO904" s="4">
        <v>14</v>
      </c>
      <c r="BP904" s="8">
        <v>94.5</v>
      </c>
      <c r="BQ904" s="4">
        <v>55</v>
      </c>
      <c r="BR904" s="8">
        <v>613.8</v>
      </c>
      <c r="BS904" s="7">
        <v>-0.7455</v>
      </c>
      <c r="BT904" s="7">
        <v>-0.846</v>
      </c>
      <c r="BU904" s="2" t="s">
        <v>211</v>
      </c>
      <c r="BV904" s="2" t="s">
        <v>352</v>
      </c>
      <c r="BW904" s="2" t="s">
        <v>524</v>
      </c>
      <c r="BX904" s="2" t="s">
        <v>636</v>
      </c>
      <c r="BY904" s="2" t="s">
        <v>354</v>
      </c>
    </row>
    <row r="905">
      <c r="A905" s="2" t="s">
        <v>3052</v>
      </c>
      <c r="B905" s="2" t="s">
        <v>86</v>
      </c>
      <c r="C905" s="2" t="s">
        <v>3016</v>
      </c>
      <c r="D905" s="2" t="s">
        <v>1786</v>
      </c>
      <c r="E905" s="2" t="s">
        <v>1786</v>
      </c>
      <c r="F905" s="2" t="s">
        <v>612</v>
      </c>
      <c r="G905" s="2" t="s">
        <v>3017</v>
      </c>
      <c r="H905" s="2" t="s">
        <v>3018</v>
      </c>
      <c r="I905" s="2" t="s">
        <v>3053</v>
      </c>
      <c r="J905" s="2" t="s">
        <v>1808</v>
      </c>
      <c r="K905" s="2" t="s">
        <v>247</v>
      </c>
      <c r="L905" s="3">
        <v>12.15</v>
      </c>
      <c r="M905" s="3">
        <v>12.76</v>
      </c>
      <c r="N905" s="3">
        <v>26.99</v>
      </c>
      <c r="O905" s="2" t="s">
        <v>368</v>
      </c>
      <c r="P905" s="2" t="s">
        <v>215</v>
      </c>
      <c r="Q905" s="2" t="s">
        <v>97</v>
      </c>
      <c r="R905" s="2" t="s">
        <v>98</v>
      </c>
      <c r="S905" s="2" t="s">
        <v>3039</v>
      </c>
      <c r="T905" s="2" t="s">
        <v>1672</v>
      </c>
      <c r="U905" s="2" t="s">
        <v>100</v>
      </c>
      <c r="V905" s="2" t="s">
        <v>101</v>
      </c>
      <c r="W905" s="2" t="s">
        <v>567</v>
      </c>
      <c r="X905" s="2" t="s">
        <v>1373</v>
      </c>
      <c r="Y905" s="2" t="s">
        <v>3040</v>
      </c>
      <c r="Z905" s="4"/>
      <c r="AA905" s="4">
        <f>=ROUNDDOWN({0},0)</f>
      </c>
      <c r="AB905" s="5"/>
      <c r="AC905" s="2" t="s">
        <v>98</v>
      </c>
      <c r="AD905" s="4"/>
      <c r="AE905" s="4"/>
      <c r="AF905" s="6"/>
      <c r="AG905" s="6"/>
      <c r="AH905" s="7">
        <v>0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>
        <v>21</v>
      </c>
      <c r="AS905" s="8">
        <v>248.01</v>
      </c>
      <c r="AT905" s="7">
        <v>-1</v>
      </c>
      <c r="AU905" s="7">
        <v>-1</v>
      </c>
      <c r="AV905" s="4"/>
      <c r="AW905" s="8"/>
      <c r="AX905" s="4">
        <v>21</v>
      </c>
      <c r="AY905" s="8">
        <v>248.01</v>
      </c>
      <c r="AZ905" s="7">
        <v>-1</v>
      </c>
      <c r="BA905" s="7">
        <v>-1</v>
      </c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/>
      <c r="BK905" s="8"/>
      <c r="BL905" s="2" t="s">
        <v>588</v>
      </c>
      <c r="BM905" s="7"/>
      <c r="BN905" s="7"/>
      <c r="BO905" s="4"/>
      <c r="BP905" s="8"/>
      <c r="BQ905" s="4">
        <v>21</v>
      </c>
      <c r="BR905" s="8">
        <v>248.01</v>
      </c>
      <c r="BS905" s="7">
        <v>-1</v>
      </c>
      <c r="BT905" s="7">
        <v>-1</v>
      </c>
      <c r="BU905" s="2" t="s">
        <v>211</v>
      </c>
      <c r="BV905" s="2" t="s">
        <v>352</v>
      </c>
      <c r="BW905" s="2" t="s">
        <v>801</v>
      </c>
      <c r="BX905" s="2" t="s">
        <v>2574</v>
      </c>
      <c r="BY905" s="2" t="s">
        <v>111</v>
      </c>
    </row>
    <row r="906">
      <c r="A906" s="2" t="s">
        <v>3054</v>
      </c>
      <c r="B906" s="2" t="s">
        <v>86</v>
      </c>
      <c r="C906" s="2" t="s">
        <v>3016</v>
      </c>
      <c r="D906" s="2" t="s">
        <v>1786</v>
      </c>
      <c r="E906" s="2" t="s">
        <v>1786</v>
      </c>
      <c r="F906" s="2" t="s">
        <v>612</v>
      </c>
      <c r="G906" s="2" t="s">
        <v>3017</v>
      </c>
      <c r="H906" s="2" t="s">
        <v>3018</v>
      </c>
      <c r="I906" s="2" t="s">
        <v>3050</v>
      </c>
      <c r="J906" s="2" t="s">
        <v>1808</v>
      </c>
      <c r="K906" s="2" t="s">
        <v>458</v>
      </c>
      <c r="L906" s="3">
        <v>12.15</v>
      </c>
      <c r="M906" s="3">
        <v>12.76</v>
      </c>
      <c r="N906" s="3">
        <v>26.99</v>
      </c>
      <c r="O906" s="2" t="s">
        <v>368</v>
      </c>
      <c r="P906" s="2" t="s">
        <v>215</v>
      </c>
      <c r="Q906" s="2" t="s">
        <v>97</v>
      </c>
      <c r="R906" s="2" t="s">
        <v>98</v>
      </c>
      <c r="S906" s="2" t="s">
        <v>3033</v>
      </c>
      <c r="T906" s="2" t="s">
        <v>1672</v>
      </c>
      <c r="U906" s="2" t="s">
        <v>100</v>
      </c>
      <c r="V906" s="2" t="s">
        <v>101</v>
      </c>
      <c r="W906" s="2" t="s">
        <v>567</v>
      </c>
      <c r="X906" s="2" t="s">
        <v>1373</v>
      </c>
      <c r="Y906" s="2" t="s">
        <v>1691</v>
      </c>
      <c r="Z906" s="4"/>
      <c r="AA906" s="4">
        <f>=ROUNDDOWN({0},0)</f>
      </c>
      <c r="AB906" s="5">
        <v>1.5</v>
      </c>
      <c r="AC906" s="2" t="s">
        <v>98</v>
      </c>
      <c r="AD906" s="4"/>
      <c r="AE906" s="4"/>
      <c r="AF906" s="6"/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>
        <v>27</v>
      </c>
      <c r="AS906" s="8">
        <v>301.32</v>
      </c>
      <c r="AT906" s="7">
        <v>-1</v>
      </c>
      <c r="AU906" s="7">
        <v>-1</v>
      </c>
      <c r="AV906" s="4"/>
      <c r="AW906" s="8"/>
      <c r="AX906" s="4">
        <v>27</v>
      </c>
      <c r="AY906" s="8">
        <v>301.32</v>
      </c>
      <c r="AZ906" s="7">
        <v>-1</v>
      </c>
      <c r="BA906" s="7">
        <v>-1</v>
      </c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/>
      <c r="BK906" s="8"/>
      <c r="BL906" s="2" t="s">
        <v>2043</v>
      </c>
      <c r="BM906" s="7"/>
      <c r="BN906" s="7"/>
      <c r="BO906" s="4"/>
      <c r="BP906" s="8"/>
      <c r="BQ906" s="4">
        <v>27</v>
      </c>
      <c r="BR906" s="8">
        <v>301.32</v>
      </c>
      <c r="BS906" s="7">
        <v>-1</v>
      </c>
      <c r="BT906" s="7">
        <v>-1</v>
      </c>
      <c r="BU906" s="2" t="s">
        <v>211</v>
      </c>
      <c r="BV906" s="2" t="s">
        <v>352</v>
      </c>
      <c r="BW906" s="2" t="s">
        <v>524</v>
      </c>
      <c r="BX906" s="2" t="s">
        <v>693</v>
      </c>
      <c r="BY906" s="2" t="s">
        <v>111</v>
      </c>
    </row>
    <row r="907">
      <c r="A907" s="2" t="s">
        <v>3055</v>
      </c>
      <c r="B907" s="2" t="s">
        <v>86</v>
      </c>
      <c r="C907" s="2" t="s">
        <v>3016</v>
      </c>
      <c r="D907" s="2" t="s">
        <v>1786</v>
      </c>
      <c r="E907" s="2" t="s">
        <v>1786</v>
      </c>
      <c r="F907" s="2" t="s">
        <v>612</v>
      </c>
      <c r="G907" s="2" t="s">
        <v>3017</v>
      </c>
      <c r="H907" s="2" t="s">
        <v>3018</v>
      </c>
      <c r="I907" s="2" t="s">
        <v>3053</v>
      </c>
      <c r="J907" s="2" t="s">
        <v>1808</v>
      </c>
      <c r="K907" s="2" t="s">
        <v>1031</v>
      </c>
      <c r="L907" s="3">
        <v>12.15</v>
      </c>
      <c r="M907" s="3">
        <v>12.76</v>
      </c>
      <c r="N907" s="3">
        <v>26.99</v>
      </c>
      <c r="O907" s="2" t="s">
        <v>368</v>
      </c>
      <c r="P907" s="2" t="s">
        <v>215</v>
      </c>
      <c r="Q907" s="2" t="s">
        <v>97</v>
      </c>
      <c r="R907" s="2" t="s">
        <v>98</v>
      </c>
      <c r="S907" s="2" t="s">
        <v>3046</v>
      </c>
      <c r="T907" s="2" t="s">
        <v>1672</v>
      </c>
      <c r="U907" s="2" t="s">
        <v>100</v>
      </c>
      <c r="V907" s="2" t="s">
        <v>101</v>
      </c>
      <c r="W907" s="2" t="s">
        <v>567</v>
      </c>
      <c r="X907" s="2" t="s">
        <v>1373</v>
      </c>
      <c r="Y907" s="2" t="s">
        <v>3040</v>
      </c>
      <c r="Z907" s="4"/>
      <c r="AA907" s="4">
        <f>=ROUNDDOWN({0},0)</f>
      </c>
      <c r="AB907" s="5"/>
      <c r="AC907" s="2" t="s">
        <v>98</v>
      </c>
      <c r="AD907" s="4"/>
      <c r="AE907" s="4"/>
      <c r="AF907" s="6"/>
      <c r="AG907" s="6"/>
      <c r="AH907" s="7">
        <v>0.3667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>
        <v>15</v>
      </c>
      <c r="AS907" s="8">
        <v>177.15</v>
      </c>
      <c r="AT907" s="7">
        <v>-1</v>
      </c>
      <c r="AU907" s="7">
        <v>-1</v>
      </c>
      <c r="AV907" s="4"/>
      <c r="AW907" s="8"/>
      <c r="AX907" s="4">
        <v>15</v>
      </c>
      <c r="AY907" s="8">
        <v>177.15</v>
      </c>
      <c r="AZ907" s="7">
        <v>-1</v>
      </c>
      <c r="BA907" s="7">
        <v>-1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/>
      <c r="BK907" s="8"/>
      <c r="BL907" s="2" t="s">
        <v>3056</v>
      </c>
      <c r="BM907" s="7"/>
      <c r="BN907" s="7"/>
      <c r="BO907" s="4"/>
      <c r="BP907" s="8"/>
      <c r="BQ907" s="4">
        <v>15</v>
      </c>
      <c r="BR907" s="8">
        <v>177.15</v>
      </c>
      <c r="BS907" s="7">
        <v>-1</v>
      </c>
      <c r="BT907" s="7">
        <v>-1</v>
      </c>
      <c r="BU907" s="2" t="s">
        <v>211</v>
      </c>
      <c r="BV907" s="2" t="s">
        <v>352</v>
      </c>
      <c r="BW907" s="2" t="s">
        <v>801</v>
      </c>
      <c r="BX907" s="2" t="s">
        <v>905</v>
      </c>
      <c r="BY907" s="2" t="s">
        <v>111</v>
      </c>
    </row>
    <row r="908">
      <c r="A908" s="2" t="s">
        <v>3057</v>
      </c>
      <c r="B908" s="2" t="s">
        <v>86</v>
      </c>
      <c r="C908" s="2" t="s">
        <v>3016</v>
      </c>
      <c r="D908" s="2" t="s">
        <v>1984</v>
      </c>
      <c r="E908" s="2" t="s">
        <v>2783</v>
      </c>
      <c r="F908" s="2" t="s">
        <v>612</v>
      </c>
      <c r="G908" s="2" t="s">
        <v>3017</v>
      </c>
      <c r="H908" s="2" t="s">
        <v>3018</v>
      </c>
      <c r="I908" s="2" t="s">
        <v>3058</v>
      </c>
      <c r="J908" s="2" t="s">
        <v>3059</v>
      </c>
      <c r="K908" s="2" t="s">
        <v>458</v>
      </c>
      <c r="L908" s="3">
        <v>22.75</v>
      </c>
      <c r="M908" s="3">
        <v>23.89</v>
      </c>
      <c r="N908" s="3">
        <v>42.99</v>
      </c>
      <c r="O908" s="2" t="s">
        <v>368</v>
      </c>
      <c r="P908" s="2" t="s">
        <v>215</v>
      </c>
      <c r="Q908" s="2" t="s">
        <v>97</v>
      </c>
      <c r="R908" s="2" t="s">
        <v>98</v>
      </c>
      <c r="S908" s="2" t="s">
        <v>3033</v>
      </c>
      <c r="T908" s="2" t="s">
        <v>1672</v>
      </c>
      <c r="U908" s="2" t="s">
        <v>100</v>
      </c>
      <c r="V908" s="2" t="s">
        <v>101</v>
      </c>
      <c r="W908" s="2" t="s">
        <v>567</v>
      </c>
      <c r="X908" s="2" t="s">
        <v>3060</v>
      </c>
      <c r="Y908" s="2" t="s">
        <v>709</v>
      </c>
      <c r="Z908" s="4"/>
      <c r="AA908" s="4">
        <f>=ROUNDDOWN({0},0)</f>
      </c>
      <c r="AB908" s="5">
        <v>1.4</v>
      </c>
      <c r="AC908" s="2" t="s">
        <v>98</v>
      </c>
      <c r="AD908" s="4"/>
      <c r="AE908" s="4"/>
      <c r="AF908" s="6"/>
      <c r="AG908" s="6"/>
      <c r="AH908" s="7">
        <v>0.0556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>
        <v>22</v>
      </c>
      <c r="AS908" s="8">
        <v>386.1</v>
      </c>
      <c r="AT908" s="7">
        <v>-1</v>
      </c>
      <c r="AU908" s="7">
        <v>-1</v>
      </c>
      <c r="AV908" s="4"/>
      <c r="AW908" s="8"/>
      <c r="AX908" s="4">
        <v>22</v>
      </c>
      <c r="AY908" s="8">
        <v>386.1</v>
      </c>
      <c r="AZ908" s="7">
        <v>-1</v>
      </c>
      <c r="BA908" s="7">
        <v>-1</v>
      </c>
      <c r="BB908" s="7"/>
      <c r="BC908" s="4" t="s">
        <v>98</v>
      </c>
      <c r="BD908" s="8" t="s">
        <v>98</v>
      </c>
      <c r="BE908" s="4">
        <v>109</v>
      </c>
      <c r="BF908" s="8">
        <v>1912.95</v>
      </c>
      <c r="BG908" s="7" t="s">
        <v>98</v>
      </c>
      <c r="BH908" s="7" t="s">
        <v>98</v>
      </c>
      <c r="BI908" s="7"/>
      <c r="BJ908" s="4">
        <v>1</v>
      </c>
      <c r="BK908" s="8">
        <v>18.06</v>
      </c>
      <c r="BL908" s="2" t="s">
        <v>3061</v>
      </c>
      <c r="BM908" s="7"/>
      <c r="BN908" s="7"/>
      <c r="BO908" s="4"/>
      <c r="BP908" s="8"/>
      <c r="BQ908" s="4">
        <v>22</v>
      </c>
      <c r="BR908" s="8">
        <v>386.1</v>
      </c>
      <c r="BS908" s="7">
        <v>-1</v>
      </c>
      <c r="BT908" s="7">
        <v>-1</v>
      </c>
      <c r="BU908" s="2" t="s">
        <v>211</v>
      </c>
      <c r="BV908" s="2" t="s">
        <v>352</v>
      </c>
      <c r="BW908" s="2" t="s">
        <v>709</v>
      </c>
      <c r="BX908" s="2" t="s">
        <v>2026</v>
      </c>
      <c r="BY908" s="2" t="s">
        <v>111</v>
      </c>
    </row>
    <row r="909">
      <c r="A909" s="2" t="s">
        <v>3062</v>
      </c>
      <c r="B909" s="2" t="s">
        <v>86</v>
      </c>
      <c r="C909" s="2" t="s">
        <v>3016</v>
      </c>
      <c r="D909" s="2" t="s">
        <v>1984</v>
      </c>
      <c r="E909" s="2" t="s">
        <v>2783</v>
      </c>
      <c r="F909" s="2" t="s">
        <v>612</v>
      </c>
      <c r="G909" s="2" t="s">
        <v>3017</v>
      </c>
      <c r="H909" s="2" t="s">
        <v>3018</v>
      </c>
      <c r="I909" s="2" t="s">
        <v>3058</v>
      </c>
      <c r="J909" s="2" t="s">
        <v>3059</v>
      </c>
      <c r="K909" s="2" t="s">
        <v>400</v>
      </c>
      <c r="L909" s="3">
        <v>22.75</v>
      </c>
      <c r="M909" s="3">
        <v>23.89</v>
      </c>
      <c r="N909" s="3">
        <v>42.99</v>
      </c>
      <c r="O909" s="2" t="s">
        <v>368</v>
      </c>
      <c r="P909" s="2" t="s">
        <v>215</v>
      </c>
      <c r="Q909" s="2" t="s">
        <v>97</v>
      </c>
      <c r="R909" s="2" t="s">
        <v>98</v>
      </c>
      <c r="S909" s="2" t="s">
        <v>3020</v>
      </c>
      <c r="T909" s="2" t="s">
        <v>1672</v>
      </c>
      <c r="U909" s="2" t="s">
        <v>100</v>
      </c>
      <c r="V909" s="2" t="s">
        <v>101</v>
      </c>
      <c r="W909" s="2" t="s">
        <v>567</v>
      </c>
      <c r="X909" s="2" t="s">
        <v>3060</v>
      </c>
      <c r="Y909" s="2" t="s">
        <v>709</v>
      </c>
      <c r="Z909" s="4"/>
      <c r="AA909" s="4">
        <f>=ROUNDDOWN({0},0)</f>
      </c>
      <c r="AB909" s="5"/>
      <c r="AC909" s="2" t="s">
        <v>98</v>
      </c>
      <c r="AD909" s="4"/>
      <c r="AE909" s="4"/>
      <c r="AF909" s="6">
        <v>65</v>
      </c>
      <c r="AG909" s="6"/>
      <c r="AH909" s="7">
        <v>0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47</v>
      </c>
      <c r="AS909" s="8">
        <v>824.85</v>
      </c>
      <c r="AT909" s="7">
        <v>-1</v>
      </c>
      <c r="AU909" s="7">
        <v>-1</v>
      </c>
      <c r="AV909" s="4"/>
      <c r="AW909" s="8"/>
      <c r="AX909" s="4">
        <v>47</v>
      </c>
      <c r="AY909" s="8">
        <v>824.85</v>
      </c>
      <c r="AZ909" s="7">
        <v>-1</v>
      </c>
      <c r="BA909" s="7">
        <v>-1</v>
      </c>
      <c r="BB909" s="7"/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/>
      <c r="BK909" s="8"/>
      <c r="BL909" s="2" t="s">
        <v>2068</v>
      </c>
      <c r="BM909" s="7"/>
      <c r="BN909" s="7"/>
      <c r="BO909" s="4"/>
      <c r="BP909" s="8"/>
      <c r="BQ909" s="4">
        <v>47</v>
      </c>
      <c r="BR909" s="8">
        <v>824.85</v>
      </c>
      <c r="BS909" s="7">
        <v>-1</v>
      </c>
      <c r="BT909" s="7">
        <v>-1</v>
      </c>
      <c r="BU909" s="2" t="s">
        <v>211</v>
      </c>
      <c r="BV909" s="2" t="s">
        <v>352</v>
      </c>
      <c r="BW909" s="2" t="s">
        <v>709</v>
      </c>
      <c r="BX909" s="2" t="s">
        <v>3063</v>
      </c>
      <c r="BY909" s="2" t="s">
        <v>111</v>
      </c>
    </row>
    <row r="910">
      <c r="A910" s="2" t="s">
        <v>3064</v>
      </c>
      <c r="B910" s="2" t="s">
        <v>86</v>
      </c>
      <c r="C910" s="2" t="s">
        <v>3016</v>
      </c>
      <c r="D910" s="2" t="s">
        <v>1984</v>
      </c>
      <c r="E910" s="2" t="s">
        <v>2783</v>
      </c>
      <c r="F910" s="2" t="s">
        <v>612</v>
      </c>
      <c r="G910" s="2" t="s">
        <v>3017</v>
      </c>
      <c r="H910" s="2" t="s">
        <v>3018</v>
      </c>
      <c r="I910" s="2" t="s">
        <v>3058</v>
      </c>
      <c r="J910" s="2" t="s">
        <v>3059</v>
      </c>
      <c r="K910" s="2" t="s">
        <v>748</v>
      </c>
      <c r="L910" s="3">
        <v>22.75</v>
      </c>
      <c r="M910" s="3">
        <v>23.89</v>
      </c>
      <c r="N910" s="3">
        <v>42.99</v>
      </c>
      <c r="O910" s="2" t="s">
        <v>368</v>
      </c>
      <c r="P910" s="2" t="s">
        <v>215</v>
      </c>
      <c r="Q910" s="2" t="s">
        <v>97</v>
      </c>
      <c r="R910" s="2" t="s">
        <v>98</v>
      </c>
      <c r="S910" s="2" t="s">
        <v>3027</v>
      </c>
      <c r="T910" s="2" t="s">
        <v>1672</v>
      </c>
      <c r="U910" s="2" t="s">
        <v>100</v>
      </c>
      <c r="V910" s="2" t="s">
        <v>101</v>
      </c>
      <c r="W910" s="2" t="s">
        <v>567</v>
      </c>
      <c r="X910" s="2" t="s">
        <v>3060</v>
      </c>
      <c r="Y910" s="2" t="s">
        <v>709</v>
      </c>
      <c r="Z910" s="4"/>
      <c r="AA910" s="4">
        <f>=ROUNDDOWN({0},0)</f>
      </c>
      <c r="AB910" s="5"/>
      <c r="AC910" s="2" t="s">
        <v>98</v>
      </c>
      <c r="AD910" s="4"/>
      <c r="AE910" s="4"/>
      <c r="AF910" s="6">
        <v>65</v>
      </c>
      <c r="AG910" s="6"/>
      <c r="AH910" s="7">
        <v>0.3667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>
        <v>40</v>
      </c>
      <c r="AS910" s="8">
        <v>702</v>
      </c>
      <c r="AT910" s="7">
        <v>-1</v>
      </c>
      <c r="AU910" s="7">
        <v>-1</v>
      </c>
      <c r="AV910" s="4"/>
      <c r="AW910" s="8"/>
      <c r="AX910" s="4">
        <v>40</v>
      </c>
      <c r="AY910" s="8">
        <v>702</v>
      </c>
      <c r="AZ910" s="7">
        <v>-1</v>
      </c>
      <c r="BA910" s="7">
        <v>-1</v>
      </c>
      <c r="BB910" s="7"/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/>
      <c r="BK910" s="8"/>
      <c r="BL910" s="2" t="s">
        <v>3065</v>
      </c>
      <c r="BM910" s="7"/>
      <c r="BN910" s="7"/>
      <c r="BO910" s="4"/>
      <c r="BP910" s="8"/>
      <c r="BQ910" s="4">
        <v>40</v>
      </c>
      <c r="BR910" s="8">
        <v>702</v>
      </c>
      <c r="BS910" s="7">
        <v>-1</v>
      </c>
      <c r="BT910" s="7">
        <v>-1</v>
      </c>
      <c r="BU910" s="2" t="s">
        <v>211</v>
      </c>
      <c r="BV910" s="2" t="s">
        <v>352</v>
      </c>
      <c r="BW910" s="2" t="s">
        <v>709</v>
      </c>
      <c r="BX910" s="2" t="s">
        <v>3066</v>
      </c>
      <c r="BY910" s="2" t="s">
        <v>111</v>
      </c>
    </row>
    <row r="911">
      <c r="A911" s="2" t="s">
        <v>3067</v>
      </c>
      <c r="B911" s="2" t="s">
        <v>86</v>
      </c>
      <c r="C911" s="2" t="s">
        <v>3016</v>
      </c>
      <c r="D911" s="2" t="s">
        <v>2002</v>
      </c>
      <c r="E911" s="2" t="s">
        <v>2003</v>
      </c>
      <c r="F911" s="2" t="s">
        <v>612</v>
      </c>
      <c r="G911" s="2" t="s">
        <v>3017</v>
      </c>
      <c r="H911" s="2" t="s">
        <v>3018</v>
      </c>
      <c r="I911" s="2" t="s">
        <v>3068</v>
      </c>
      <c r="J911" s="2" t="s">
        <v>2029</v>
      </c>
      <c r="K911" s="2" t="s">
        <v>247</v>
      </c>
      <c r="L911" s="3">
        <v>10.8</v>
      </c>
      <c r="M911" s="3">
        <v>11.34</v>
      </c>
      <c r="N911" s="3">
        <v>26.99</v>
      </c>
      <c r="O911" s="2" t="s">
        <v>368</v>
      </c>
      <c r="P911" s="2" t="s">
        <v>215</v>
      </c>
      <c r="Q911" s="2" t="s">
        <v>97</v>
      </c>
      <c r="R911" s="2" t="s">
        <v>98</v>
      </c>
      <c r="S911" s="2" t="s">
        <v>3039</v>
      </c>
      <c r="T911" s="2" t="s">
        <v>1672</v>
      </c>
      <c r="U911" s="2" t="s">
        <v>100</v>
      </c>
      <c r="V911" s="2" t="s">
        <v>101</v>
      </c>
      <c r="W911" s="2" t="s">
        <v>567</v>
      </c>
      <c r="X911" s="2" t="s">
        <v>1373</v>
      </c>
      <c r="Y911" s="2" t="s">
        <v>3069</v>
      </c>
      <c r="Z911" s="4">
        <v>126</v>
      </c>
      <c r="AA911" s="4">
        <f>=ROUNDDOWN(70,0)</f>
      </c>
      <c r="AB911" s="5">
        <v>1.8</v>
      </c>
      <c r="AC911" s="2" t="s">
        <v>98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 t="s">
        <v>98</v>
      </c>
      <c r="AW911" s="8" t="s">
        <v>98</v>
      </c>
      <c r="AX911" s="4" t="s">
        <v>98</v>
      </c>
      <c r="AY911" s="8" t="s">
        <v>98</v>
      </c>
      <c r="AZ911" s="7" t="s">
        <v>98</v>
      </c>
      <c r="BA911" s="7" t="s">
        <v>98</v>
      </c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>
        <v>21</v>
      </c>
      <c r="BK911" s="8">
        <v>220.4</v>
      </c>
      <c r="BL911" s="2" t="s">
        <v>3070</v>
      </c>
      <c r="BM911" s="7"/>
      <c r="BN911" s="7"/>
      <c r="BO911" s="4"/>
      <c r="BP911" s="8"/>
      <c r="BQ911" s="4"/>
      <c r="BR911" s="8"/>
      <c r="BS911" s="7"/>
      <c r="BT911" s="7"/>
      <c r="BU911" s="2" t="s">
        <v>1437</v>
      </c>
      <c r="BV911" s="2" t="s">
        <v>95</v>
      </c>
      <c r="BW911" s="2" t="s">
        <v>98</v>
      </c>
      <c r="BX911" s="2" t="s">
        <v>98</v>
      </c>
      <c r="BY911" s="2" t="s">
        <v>111</v>
      </c>
    </row>
    <row r="912">
      <c r="A912" s="2" t="s">
        <v>3071</v>
      </c>
      <c r="B912" s="2" t="s">
        <v>86</v>
      </c>
      <c r="C912" s="2" t="s">
        <v>3016</v>
      </c>
      <c r="D912" s="2" t="s">
        <v>2002</v>
      </c>
      <c r="E912" s="2" t="s">
        <v>2003</v>
      </c>
      <c r="F912" s="2" t="s">
        <v>612</v>
      </c>
      <c r="G912" s="2" t="s">
        <v>3017</v>
      </c>
      <c r="H912" s="2" t="s">
        <v>3018</v>
      </c>
      <c r="I912" s="2" t="s">
        <v>3072</v>
      </c>
      <c r="J912" s="2" t="s">
        <v>2006</v>
      </c>
      <c r="K912" s="2" t="s">
        <v>247</v>
      </c>
      <c r="L912" s="3">
        <v>13.5</v>
      </c>
      <c r="M912" s="3">
        <v>14.18</v>
      </c>
      <c r="N912" s="3">
        <v>29.99</v>
      </c>
      <c r="O912" s="2" t="s">
        <v>368</v>
      </c>
      <c r="P912" s="2" t="s">
        <v>215</v>
      </c>
      <c r="Q912" s="2" t="s">
        <v>97</v>
      </c>
      <c r="R912" s="2" t="s">
        <v>98</v>
      </c>
      <c r="S912" s="2" t="s">
        <v>3039</v>
      </c>
      <c r="T912" s="2" t="s">
        <v>1672</v>
      </c>
      <c r="U912" s="2" t="s">
        <v>100</v>
      </c>
      <c r="V912" s="2" t="s">
        <v>101</v>
      </c>
      <c r="W912" s="2" t="s">
        <v>567</v>
      </c>
      <c r="X912" s="2" t="s">
        <v>1373</v>
      </c>
      <c r="Y912" s="2" t="s">
        <v>3069</v>
      </c>
      <c r="Z912" s="4">
        <v>81</v>
      </c>
      <c r="AA912" s="4">
        <f>=ROUNDDOWN(115.714285714286,0)</f>
      </c>
      <c r="AB912" s="5">
        <v>0.7</v>
      </c>
      <c r="AC912" s="2" t="s">
        <v>98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 t="s">
        <v>98</v>
      </c>
      <c r="AW912" s="8" t="s">
        <v>98</v>
      </c>
      <c r="AX912" s="4" t="s">
        <v>98</v>
      </c>
      <c r="AY912" s="8" t="s">
        <v>98</v>
      </c>
      <c r="AZ912" s="7" t="s">
        <v>98</v>
      </c>
      <c r="BA912" s="7" t="s">
        <v>98</v>
      </c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7</v>
      </c>
      <c r="BK912" s="8">
        <v>79.86</v>
      </c>
      <c r="BL912" s="2" t="s">
        <v>3073</v>
      </c>
      <c r="BM912" s="7"/>
      <c r="BN912" s="7"/>
      <c r="BO912" s="4"/>
      <c r="BP912" s="8"/>
      <c r="BQ912" s="4"/>
      <c r="BR912" s="8"/>
      <c r="BS912" s="7"/>
      <c r="BT912" s="7"/>
      <c r="BU912" s="2" t="s">
        <v>1437</v>
      </c>
      <c r="BV912" s="2" t="s">
        <v>95</v>
      </c>
      <c r="BW912" s="2" t="s">
        <v>98</v>
      </c>
      <c r="BX912" s="2" t="s">
        <v>98</v>
      </c>
      <c r="BY912" s="2" t="s">
        <v>111</v>
      </c>
    </row>
    <row r="913">
      <c r="A913" s="2" t="s">
        <v>3074</v>
      </c>
      <c r="B913" s="2" t="s">
        <v>86</v>
      </c>
      <c r="C913" s="2" t="s">
        <v>3075</v>
      </c>
      <c r="D913" s="2" t="s">
        <v>88</v>
      </c>
      <c r="E913" s="2" t="s">
        <v>88</v>
      </c>
      <c r="F913" s="2" t="s">
        <v>3076</v>
      </c>
      <c r="G913" s="2" t="s">
        <v>3076</v>
      </c>
      <c r="H913" s="2" t="s">
        <v>3076</v>
      </c>
      <c r="I913" s="2" t="s">
        <v>3077</v>
      </c>
      <c r="J913" s="2" t="s">
        <v>3078</v>
      </c>
      <c r="K913" s="2" t="s">
        <v>1359</v>
      </c>
      <c r="L913" s="3">
        <v>17.02</v>
      </c>
      <c r="M913" s="3">
        <v>17.87</v>
      </c>
      <c r="N913" s="3">
        <v>49.99</v>
      </c>
      <c r="O913" s="2" t="s">
        <v>95</v>
      </c>
      <c r="P913" s="2" t="s">
        <v>313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100</v>
      </c>
      <c r="V913" s="2" t="s">
        <v>3079</v>
      </c>
      <c r="W913" s="2" t="s">
        <v>567</v>
      </c>
      <c r="X913" s="2" t="s">
        <v>98</v>
      </c>
      <c r="Y913" s="2" t="s">
        <v>3080</v>
      </c>
      <c r="Z913" s="4">
        <v>107</v>
      </c>
      <c r="AA913" s="4">
        <f>=ROUNDDOWN(107,0)</f>
      </c>
      <c r="AB913" s="5">
        <v>1</v>
      </c>
      <c r="AC913" s="2" t="s">
        <v>98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 t="s">
        <v>98</v>
      </c>
      <c r="AW913" s="8" t="s">
        <v>98</v>
      </c>
      <c r="AX913" s="4" t="s">
        <v>98</v>
      </c>
      <c r="AY913" s="8" t="s">
        <v>98</v>
      </c>
      <c r="AZ913" s="7" t="s">
        <v>98</v>
      </c>
      <c r="BA913" s="7" t="s">
        <v>98</v>
      </c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2</v>
      </c>
      <c r="BK913" s="8">
        <v>12.96</v>
      </c>
      <c r="BL913" s="2" t="s">
        <v>3081</v>
      </c>
      <c r="BM913" s="7"/>
      <c r="BN913" s="7"/>
      <c r="BO913" s="4"/>
      <c r="BP913" s="8"/>
      <c r="BQ913" s="4"/>
      <c r="BR913" s="8"/>
      <c r="BS913" s="7"/>
      <c r="BT913" s="7"/>
      <c r="BU913" s="2" t="s">
        <v>316</v>
      </c>
      <c r="BV913" s="2" t="s">
        <v>95</v>
      </c>
      <c r="BW913" s="2" t="s">
        <v>98</v>
      </c>
      <c r="BX913" s="2" t="s">
        <v>98</v>
      </c>
      <c r="BY913" s="2" t="s">
        <v>111</v>
      </c>
    </row>
    <row r="914">
      <c r="A914" s="2" t="s">
        <v>3082</v>
      </c>
      <c r="B914" s="2" t="s">
        <v>86</v>
      </c>
      <c r="C914" s="2" t="s">
        <v>3075</v>
      </c>
      <c r="D914" s="2" t="s">
        <v>88</v>
      </c>
      <c r="E914" s="2" t="s">
        <v>88</v>
      </c>
      <c r="F914" s="2" t="s">
        <v>3076</v>
      </c>
      <c r="G914" s="2" t="s">
        <v>3076</v>
      </c>
      <c r="H914" s="2" t="s">
        <v>3076</v>
      </c>
      <c r="I914" s="2" t="s">
        <v>3077</v>
      </c>
      <c r="J914" s="2" t="s">
        <v>3083</v>
      </c>
      <c r="K914" s="2" t="s">
        <v>1359</v>
      </c>
      <c r="L914" s="3">
        <v>15.32</v>
      </c>
      <c r="M914" s="3">
        <v>16.09</v>
      </c>
      <c r="N914" s="3">
        <v>44.99</v>
      </c>
      <c r="O914" s="2" t="s">
        <v>95</v>
      </c>
      <c r="P914" s="2" t="s">
        <v>313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100</v>
      </c>
      <c r="V914" s="2" t="s">
        <v>3079</v>
      </c>
      <c r="W914" s="2" t="s">
        <v>567</v>
      </c>
      <c r="X914" s="2" t="s">
        <v>98</v>
      </c>
      <c r="Y914" s="2" t="s">
        <v>3080</v>
      </c>
      <c r="Z914" s="4">
        <v>276</v>
      </c>
      <c r="AA914" s="4">
        <f>=ROUNDDOWN(138,0)</f>
      </c>
      <c r="AB914" s="5">
        <v>2</v>
      </c>
      <c r="AC914" s="2" t="s">
        <v>98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 t="s">
        <v>98</v>
      </c>
      <c r="AW914" s="8" t="s">
        <v>98</v>
      </c>
      <c r="AX914" s="4" t="s">
        <v>98</v>
      </c>
      <c r="AY914" s="8" t="s">
        <v>98</v>
      </c>
      <c r="AZ914" s="7" t="s">
        <v>98</v>
      </c>
      <c r="BA914" s="7" t="s">
        <v>98</v>
      </c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316</v>
      </c>
      <c r="BV914" s="2" t="s">
        <v>95</v>
      </c>
      <c r="BW914" s="2" t="s">
        <v>98</v>
      </c>
      <c r="BX914" s="2" t="s">
        <v>98</v>
      </c>
      <c r="BY914" s="2" t="s">
        <v>111</v>
      </c>
    </row>
    <row r="915">
      <c r="A915" s="2" t="s">
        <v>3084</v>
      </c>
      <c r="B915" s="2" t="s">
        <v>86</v>
      </c>
      <c r="C915" s="2" t="s">
        <v>3085</v>
      </c>
      <c r="D915" s="2" t="s">
        <v>88</v>
      </c>
      <c r="E915" s="2" t="s">
        <v>88</v>
      </c>
      <c r="F915" s="2" t="s">
        <v>3086</v>
      </c>
      <c r="G915" s="2" t="s">
        <v>3086</v>
      </c>
      <c r="H915" s="2" t="s">
        <v>3086</v>
      </c>
      <c r="I915" s="2" t="s">
        <v>3087</v>
      </c>
      <c r="J915" s="2" t="s">
        <v>3078</v>
      </c>
      <c r="K915" s="2" t="s">
        <v>1614</v>
      </c>
      <c r="L915" s="3">
        <v>27.23</v>
      </c>
      <c r="M915" s="3">
        <v>28.59</v>
      </c>
      <c r="N915" s="3">
        <v>79.99</v>
      </c>
      <c r="O915" s="2" t="s">
        <v>95</v>
      </c>
      <c r="P915" s="2" t="s">
        <v>313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100</v>
      </c>
      <c r="V915" s="2" t="s">
        <v>101</v>
      </c>
      <c r="W915" s="2" t="s">
        <v>2111</v>
      </c>
      <c r="X915" s="2" t="s">
        <v>98</v>
      </c>
      <c r="Y915" s="2" t="s">
        <v>862</v>
      </c>
      <c r="Z915" s="4">
        <v>135</v>
      </c>
      <c r="AA915" s="4">
        <f>=ROUNDDOWN(135,0)</f>
      </c>
      <c r="AB915" s="5">
        <v>1</v>
      </c>
      <c r="AC915" s="2" t="s">
        <v>98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98</v>
      </c>
      <c r="AW915" s="8" t="s">
        <v>98</v>
      </c>
      <c r="AX915" s="4" t="s">
        <v>98</v>
      </c>
      <c r="AY915" s="8" t="s">
        <v>98</v>
      </c>
      <c r="AZ915" s="7" t="s">
        <v>98</v>
      </c>
      <c r="BA915" s="7" t="s">
        <v>98</v>
      </c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>
        <v>4</v>
      </c>
      <c r="BK915" s="8">
        <v>64.24</v>
      </c>
      <c r="BL915" s="2" t="s">
        <v>3081</v>
      </c>
      <c r="BM915" s="7"/>
      <c r="BN915" s="7"/>
      <c r="BO915" s="4"/>
      <c r="BP915" s="8"/>
      <c r="BQ915" s="4"/>
      <c r="BR915" s="8"/>
      <c r="BS915" s="7"/>
      <c r="BT915" s="7"/>
      <c r="BU915" s="2" t="s">
        <v>316</v>
      </c>
      <c r="BV915" s="2" t="s">
        <v>95</v>
      </c>
      <c r="BW915" s="2" t="s">
        <v>98</v>
      </c>
      <c r="BX915" s="2" t="s">
        <v>98</v>
      </c>
      <c r="BY915" s="2" t="s">
        <v>111</v>
      </c>
    </row>
    <row r="916">
      <c r="A916" s="2" t="s">
        <v>3088</v>
      </c>
      <c r="B916" s="2" t="s">
        <v>86</v>
      </c>
      <c r="C916" s="2" t="s">
        <v>3085</v>
      </c>
      <c r="D916" s="2" t="s">
        <v>88</v>
      </c>
      <c r="E916" s="2" t="s">
        <v>88</v>
      </c>
      <c r="F916" s="2" t="s">
        <v>3086</v>
      </c>
      <c r="G916" s="2" t="s">
        <v>3086</v>
      </c>
      <c r="H916" s="2" t="s">
        <v>3086</v>
      </c>
      <c r="I916" s="2" t="s">
        <v>3087</v>
      </c>
      <c r="J916" s="2" t="s">
        <v>3083</v>
      </c>
      <c r="K916" s="2" t="s">
        <v>1614</v>
      </c>
      <c r="L916" s="3">
        <v>23.83</v>
      </c>
      <c r="M916" s="3">
        <v>25.02</v>
      </c>
      <c r="N916" s="3">
        <v>69.99</v>
      </c>
      <c r="O916" s="2" t="s">
        <v>95</v>
      </c>
      <c r="P916" s="2" t="s">
        <v>313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100</v>
      </c>
      <c r="V916" s="2" t="s">
        <v>101</v>
      </c>
      <c r="W916" s="2" t="s">
        <v>2111</v>
      </c>
      <c r="X916" s="2" t="s">
        <v>98</v>
      </c>
      <c r="Y916" s="2" t="s">
        <v>862</v>
      </c>
      <c r="Z916" s="4">
        <v>238</v>
      </c>
      <c r="AA916" s="4">
        <f>=ROUNDDOWN(119,0)</f>
      </c>
      <c r="AB916" s="5">
        <v>2</v>
      </c>
      <c r="AC916" s="2" t="s">
        <v>98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98</v>
      </c>
      <c r="AW916" s="8" t="s">
        <v>98</v>
      </c>
      <c r="AX916" s="4" t="s">
        <v>98</v>
      </c>
      <c r="AY916" s="8" t="s">
        <v>98</v>
      </c>
      <c r="AZ916" s="7" t="s">
        <v>98</v>
      </c>
      <c r="BA916" s="7" t="s">
        <v>98</v>
      </c>
      <c r="BB916" s="7"/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316</v>
      </c>
      <c r="BV916" s="2" t="s">
        <v>95</v>
      </c>
      <c r="BW916" s="2" t="s">
        <v>98</v>
      </c>
      <c r="BX916" s="2" t="s">
        <v>98</v>
      </c>
      <c r="BY916" s="2" t="s">
        <v>111</v>
      </c>
    </row>
    <row r="917">
      <c r="A917" s="2" t="s">
        <v>3089</v>
      </c>
      <c r="B917" s="2" t="s">
        <v>86</v>
      </c>
      <c r="C917" s="2" t="s">
        <v>3085</v>
      </c>
      <c r="D917" s="2" t="s">
        <v>88</v>
      </c>
      <c r="E917" s="2" t="s">
        <v>88</v>
      </c>
      <c r="F917" s="2" t="s">
        <v>3086</v>
      </c>
      <c r="G917" s="2" t="s">
        <v>3086</v>
      </c>
      <c r="H917" s="2" t="s">
        <v>3086</v>
      </c>
      <c r="I917" s="2" t="s">
        <v>3090</v>
      </c>
      <c r="J917" s="2" t="s">
        <v>1791</v>
      </c>
      <c r="K917" s="2" t="s">
        <v>1614</v>
      </c>
      <c r="L917" s="3">
        <v>17.02</v>
      </c>
      <c r="M917" s="3">
        <v>17.87</v>
      </c>
      <c r="N917" s="3">
        <v>49.99</v>
      </c>
      <c r="O917" s="2" t="s">
        <v>95</v>
      </c>
      <c r="P917" s="2" t="s">
        <v>313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100</v>
      </c>
      <c r="V917" s="2" t="s">
        <v>101</v>
      </c>
      <c r="W917" s="2" t="s">
        <v>2111</v>
      </c>
      <c r="X917" s="2" t="s">
        <v>98</v>
      </c>
      <c r="Y917" s="2" t="s">
        <v>862</v>
      </c>
      <c r="Z917" s="4"/>
      <c r="AA917" s="4">
        <f>=ROUNDDOWN({0},0)</f>
      </c>
      <c r="AB917" s="5">
        <v>3</v>
      </c>
      <c r="AC917" s="2" t="s">
        <v>98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 t="s">
        <v>98</v>
      </c>
      <c r="AW917" s="8" t="s">
        <v>98</v>
      </c>
      <c r="AX917" s="4" t="s">
        <v>98</v>
      </c>
      <c r="AY917" s="8" t="s">
        <v>98</v>
      </c>
      <c r="AZ917" s="7" t="s">
        <v>98</v>
      </c>
      <c r="BA917" s="7" t="s">
        <v>98</v>
      </c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12</v>
      </c>
      <c r="BK917" s="8">
        <v>108.48</v>
      </c>
      <c r="BL917" s="2" t="s">
        <v>3081</v>
      </c>
      <c r="BM917" s="7"/>
      <c r="BN917" s="7"/>
      <c r="BO917" s="4"/>
      <c r="BP917" s="8"/>
      <c r="BQ917" s="4"/>
      <c r="BR917" s="8"/>
      <c r="BS917" s="7"/>
      <c r="BT917" s="7"/>
      <c r="BU917" s="2" t="s">
        <v>316</v>
      </c>
      <c r="BV917" s="2" t="s">
        <v>95</v>
      </c>
      <c r="BW917" s="2" t="s">
        <v>98</v>
      </c>
      <c r="BX917" s="2" t="s">
        <v>98</v>
      </c>
      <c r="BY917" s="2" t="s">
        <v>111</v>
      </c>
    </row>
    <row r="918">
      <c r="A918" s="2" t="s">
        <v>3091</v>
      </c>
      <c r="B918" s="2" t="s">
        <v>86</v>
      </c>
      <c r="C918" s="2" t="s">
        <v>3085</v>
      </c>
      <c r="D918" s="2" t="s">
        <v>88</v>
      </c>
      <c r="E918" s="2" t="s">
        <v>88</v>
      </c>
      <c r="F918" s="2" t="s">
        <v>3086</v>
      </c>
      <c r="G918" s="2" t="s">
        <v>3086</v>
      </c>
      <c r="H918" s="2" t="s">
        <v>3086</v>
      </c>
      <c r="I918" s="2" t="s">
        <v>3087</v>
      </c>
      <c r="J918" s="2" t="s">
        <v>3078</v>
      </c>
      <c r="K918" s="2" t="s">
        <v>137</v>
      </c>
      <c r="L918" s="3">
        <v>27.23</v>
      </c>
      <c r="M918" s="3">
        <v>28.59</v>
      </c>
      <c r="N918" s="3">
        <v>79.99</v>
      </c>
      <c r="O918" s="2" t="s">
        <v>95</v>
      </c>
      <c r="P918" s="2" t="s">
        <v>313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100</v>
      </c>
      <c r="V918" s="2" t="s">
        <v>101</v>
      </c>
      <c r="W918" s="2" t="s">
        <v>2111</v>
      </c>
      <c r="X918" s="2" t="s">
        <v>98</v>
      </c>
      <c r="Y918" s="2" t="s">
        <v>862</v>
      </c>
      <c r="Z918" s="4">
        <v>48</v>
      </c>
      <c r="AA918" s="4">
        <f>=ROUNDDOWN(12,0)</f>
      </c>
      <c r="AB918" s="5">
        <v>4</v>
      </c>
      <c r="AC918" s="2" t="s">
        <v>98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98</v>
      </c>
      <c r="AW918" s="8" t="s">
        <v>98</v>
      </c>
      <c r="AX918" s="4" t="s">
        <v>98</v>
      </c>
      <c r="AY918" s="8" t="s">
        <v>98</v>
      </c>
      <c r="AZ918" s="7" t="s">
        <v>98</v>
      </c>
      <c r="BA918" s="7" t="s">
        <v>98</v>
      </c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12</v>
      </c>
      <c r="BK918" s="8">
        <v>192.72</v>
      </c>
      <c r="BL918" s="2" t="s">
        <v>3081</v>
      </c>
      <c r="BM918" s="7"/>
      <c r="BN918" s="7"/>
      <c r="BO918" s="4"/>
      <c r="BP918" s="8"/>
      <c r="BQ918" s="4"/>
      <c r="BR918" s="8"/>
      <c r="BS918" s="7"/>
      <c r="BT918" s="7"/>
      <c r="BU918" s="2" t="s">
        <v>316</v>
      </c>
      <c r="BV918" s="2" t="s">
        <v>95</v>
      </c>
      <c r="BW918" s="2" t="s">
        <v>98</v>
      </c>
      <c r="BX918" s="2" t="s">
        <v>98</v>
      </c>
      <c r="BY918" s="2" t="s">
        <v>111</v>
      </c>
    </row>
    <row r="919">
      <c r="A919" s="2" t="s">
        <v>3092</v>
      </c>
      <c r="B919" s="2" t="s">
        <v>86</v>
      </c>
      <c r="C919" s="2" t="s">
        <v>3085</v>
      </c>
      <c r="D919" s="2" t="s">
        <v>88</v>
      </c>
      <c r="E919" s="2" t="s">
        <v>88</v>
      </c>
      <c r="F919" s="2" t="s">
        <v>3086</v>
      </c>
      <c r="G919" s="2" t="s">
        <v>3086</v>
      </c>
      <c r="H919" s="2" t="s">
        <v>3086</v>
      </c>
      <c r="I919" s="2" t="s">
        <v>3087</v>
      </c>
      <c r="J919" s="2" t="s">
        <v>3083</v>
      </c>
      <c r="K919" s="2" t="s">
        <v>137</v>
      </c>
      <c r="L919" s="3">
        <v>23.83</v>
      </c>
      <c r="M919" s="3">
        <v>25.02</v>
      </c>
      <c r="N919" s="3">
        <v>69.99</v>
      </c>
      <c r="O919" s="2" t="s">
        <v>95</v>
      </c>
      <c r="P919" s="2" t="s">
        <v>313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100</v>
      </c>
      <c r="V919" s="2" t="s">
        <v>101</v>
      </c>
      <c r="W919" s="2" t="s">
        <v>2111</v>
      </c>
      <c r="X919" s="2" t="s">
        <v>98</v>
      </c>
      <c r="Y919" s="2" t="s">
        <v>862</v>
      </c>
      <c r="Z919" s="4">
        <v>155</v>
      </c>
      <c r="AA919" s="4">
        <f>=ROUNDDOWN(38.75,0)</f>
      </c>
      <c r="AB919" s="5">
        <v>4</v>
      </c>
      <c r="AC919" s="2" t="s">
        <v>98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98</v>
      </c>
      <c r="AW919" s="8" t="s">
        <v>98</v>
      </c>
      <c r="AX919" s="4" t="s">
        <v>98</v>
      </c>
      <c r="AY919" s="8" t="s">
        <v>98</v>
      </c>
      <c r="AZ919" s="7" t="s">
        <v>98</v>
      </c>
      <c r="BA919" s="7" t="s">
        <v>98</v>
      </c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5</v>
      </c>
      <c r="BK919" s="8">
        <v>74.25</v>
      </c>
      <c r="BL919" s="2" t="s">
        <v>3081</v>
      </c>
      <c r="BM919" s="7"/>
      <c r="BN919" s="7"/>
      <c r="BO919" s="4"/>
      <c r="BP919" s="8"/>
      <c r="BQ919" s="4"/>
      <c r="BR919" s="8"/>
      <c r="BS919" s="7"/>
      <c r="BT919" s="7"/>
      <c r="BU919" s="2" t="s">
        <v>316</v>
      </c>
      <c r="BV919" s="2" t="s">
        <v>95</v>
      </c>
      <c r="BW919" s="2" t="s">
        <v>98</v>
      </c>
      <c r="BX919" s="2" t="s">
        <v>98</v>
      </c>
      <c r="BY919" s="2" t="s">
        <v>111</v>
      </c>
    </row>
    <row r="920">
      <c r="A920" s="2" t="s">
        <v>3093</v>
      </c>
      <c r="B920" s="2" t="s">
        <v>86</v>
      </c>
      <c r="C920" s="2" t="s">
        <v>3085</v>
      </c>
      <c r="D920" s="2" t="s">
        <v>88</v>
      </c>
      <c r="E920" s="2" t="s">
        <v>88</v>
      </c>
      <c r="F920" s="2" t="s">
        <v>3086</v>
      </c>
      <c r="G920" s="2" t="s">
        <v>3086</v>
      </c>
      <c r="H920" s="2" t="s">
        <v>3086</v>
      </c>
      <c r="I920" s="2" t="s">
        <v>3090</v>
      </c>
      <c r="J920" s="2" t="s">
        <v>1791</v>
      </c>
      <c r="K920" s="2" t="s">
        <v>137</v>
      </c>
      <c r="L920" s="3">
        <v>17.02</v>
      </c>
      <c r="M920" s="3">
        <v>17.87</v>
      </c>
      <c r="N920" s="3">
        <v>49.99</v>
      </c>
      <c r="O920" s="2" t="s">
        <v>95</v>
      </c>
      <c r="P920" s="2" t="s">
        <v>313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100</v>
      </c>
      <c r="V920" s="2" t="s">
        <v>101</v>
      </c>
      <c r="W920" s="2" t="s">
        <v>2111</v>
      </c>
      <c r="X920" s="2" t="s">
        <v>98</v>
      </c>
      <c r="Y920" s="2" t="s">
        <v>862</v>
      </c>
      <c r="Z920" s="4"/>
      <c r="AA920" s="4">
        <f>=ROUNDDOWN({0},0)</f>
      </c>
      <c r="AB920" s="5">
        <v>3.2</v>
      </c>
      <c r="AC920" s="2" t="s">
        <v>98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 t="s">
        <v>98</v>
      </c>
      <c r="AW920" s="8" t="s">
        <v>98</v>
      </c>
      <c r="AX920" s="4" t="s">
        <v>98</v>
      </c>
      <c r="AY920" s="8" t="s">
        <v>98</v>
      </c>
      <c r="AZ920" s="7" t="s">
        <v>98</v>
      </c>
      <c r="BA920" s="7" t="s">
        <v>98</v>
      </c>
      <c r="BB920" s="7"/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>
        <v>7</v>
      </c>
      <c r="BK920" s="8">
        <v>63.28</v>
      </c>
      <c r="BL920" s="2" t="s">
        <v>3081</v>
      </c>
      <c r="BM920" s="7"/>
      <c r="BN920" s="7"/>
      <c r="BO920" s="4"/>
      <c r="BP920" s="8"/>
      <c r="BQ920" s="4"/>
      <c r="BR920" s="8"/>
      <c r="BS920" s="7"/>
      <c r="BT920" s="7"/>
      <c r="BU920" s="2" t="s">
        <v>316</v>
      </c>
      <c r="BV920" s="2" t="s">
        <v>95</v>
      </c>
      <c r="BW920" s="2" t="s">
        <v>98</v>
      </c>
      <c r="BX920" s="2" t="s">
        <v>98</v>
      </c>
      <c r="BY920" s="2" t="s">
        <v>111</v>
      </c>
    </row>
    <row r="921">
      <c r="A921" s="2" t="s">
        <v>3094</v>
      </c>
      <c r="B921" s="2" t="s">
        <v>86</v>
      </c>
      <c r="C921" s="2" t="s">
        <v>3085</v>
      </c>
      <c r="D921" s="2" t="s">
        <v>88</v>
      </c>
      <c r="E921" s="2" t="s">
        <v>88</v>
      </c>
      <c r="F921" s="2" t="s">
        <v>3086</v>
      </c>
      <c r="G921" s="2" t="s">
        <v>3086</v>
      </c>
      <c r="H921" s="2" t="s">
        <v>3086</v>
      </c>
      <c r="I921" s="2" t="s">
        <v>3087</v>
      </c>
      <c r="J921" s="2" t="s">
        <v>3078</v>
      </c>
      <c r="K921" s="2" t="s">
        <v>199</v>
      </c>
      <c r="L921" s="3">
        <v>27.23</v>
      </c>
      <c r="M921" s="3">
        <v>28.59</v>
      </c>
      <c r="N921" s="3">
        <v>79.99</v>
      </c>
      <c r="O921" s="2" t="s">
        <v>95</v>
      </c>
      <c r="P921" s="2" t="s">
        <v>313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100</v>
      </c>
      <c r="V921" s="2" t="s">
        <v>101</v>
      </c>
      <c r="W921" s="2" t="s">
        <v>2111</v>
      </c>
      <c r="X921" s="2" t="s">
        <v>98</v>
      </c>
      <c r="Y921" s="2" t="s">
        <v>862</v>
      </c>
      <c r="Z921" s="4">
        <v>144</v>
      </c>
      <c r="AA921" s="4">
        <f>=ROUNDDOWN(48,0)</f>
      </c>
      <c r="AB921" s="5">
        <v>3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 t="s">
        <v>98</v>
      </c>
      <c r="AW921" s="8" t="s">
        <v>98</v>
      </c>
      <c r="AX921" s="4" t="s">
        <v>98</v>
      </c>
      <c r="AY921" s="8" t="s">
        <v>98</v>
      </c>
      <c r="AZ921" s="7" t="s">
        <v>98</v>
      </c>
      <c r="BA921" s="7" t="s">
        <v>98</v>
      </c>
      <c r="BB921" s="7"/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/>
      <c r="BJ921" s="4">
        <v>2</v>
      </c>
      <c r="BK921" s="8">
        <v>32.12</v>
      </c>
      <c r="BL921" s="2" t="s">
        <v>3081</v>
      </c>
      <c r="BM921" s="7"/>
      <c r="BN921" s="7"/>
      <c r="BO921" s="4"/>
      <c r="BP921" s="8"/>
      <c r="BQ921" s="4"/>
      <c r="BR921" s="8"/>
      <c r="BS921" s="7"/>
      <c r="BT921" s="7"/>
      <c r="BU921" s="2" t="s">
        <v>316</v>
      </c>
      <c r="BV921" s="2" t="s">
        <v>95</v>
      </c>
      <c r="BW921" s="2" t="s">
        <v>98</v>
      </c>
      <c r="BX921" s="2" t="s">
        <v>98</v>
      </c>
      <c r="BY921" s="2" t="s">
        <v>111</v>
      </c>
    </row>
    <row r="922">
      <c r="A922" s="2" t="s">
        <v>3095</v>
      </c>
      <c r="B922" s="2" t="s">
        <v>86</v>
      </c>
      <c r="C922" s="2" t="s">
        <v>3085</v>
      </c>
      <c r="D922" s="2" t="s">
        <v>88</v>
      </c>
      <c r="E922" s="2" t="s">
        <v>88</v>
      </c>
      <c r="F922" s="2" t="s">
        <v>3086</v>
      </c>
      <c r="G922" s="2" t="s">
        <v>3086</v>
      </c>
      <c r="H922" s="2" t="s">
        <v>3086</v>
      </c>
      <c r="I922" s="2" t="s">
        <v>3087</v>
      </c>
      <c r="J922" s="2" t="s">
        <v>3083</v>
      </c>
      <c r="K922" s="2" t="s">
        <v>199</v>
      </c>
      <c r="L922" s="3">
        <v>23.83</v>
      </c>
      <c r="M922" s="3">
        <v>25.02</v>
      </c>
      <c r="N922" s="3">
        <v>69.99</v>
      </c>
      <c r="O922" s="2" t="s">
        <v>95</v>
      </c>
      <c r="P922" s="2" t="s">
        <v>313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100</v>
      </c>
      <c r="V922" s="2" t="s">
        <v>101</v>
      </c>
      <c r="W922" s="2" t="s">
        <v>2111</v>
      </c>
      <c r="X922" s="2" t="s">
        <v>98</v>
      </c>
      <c r="Y922" s="2" t="s">
        <v>862</v>
      </c>
      <c r="Z922" s="4">
        <v>233</v>
      </c>
      <c r="AA922" s="4">
        <f>=ROUNDDOWN(116.5,0)</f>
      </c>
      <c r="AB922" s="5">
        <v>2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 t="s">
        <v>98</v>
      </c>
      <c r="AW922" s="8" t="s">
        <v>98</v>
      </c>
      <c r="AX922" s="4" t="s">
        <v>98</v>
      </c>
      <c r="AY922" s="8" t="s">
        <v>98</v>
      </c>
      <c r="AZ922" s="7" t="s">
        <v>98</v>
      </c>
      <c r="BA922" s="7" t="s">
        <v>98</v>
      </c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8</v>
      </c>
      <c r="BK922" s="8">
        <v>118.8</v>
      </c>
      <c r="BL922" s="2" t="s">
        <v>3081</v>
      </c>
      <c r="BM922" s="7"/>
      <c r="BN922" s="7"/>
      <c r="BO922" s="4"/>
      <c r="BP922" s="8"/>
      <c r="BQ922" s="4"/>
      <c r="BR922" s="8"/>
      <c r="BS922" s="7"/>
      <c r="BT922" s="7"/>
      <c r="BU922" s="2" t="s">
        <v>316</v>
      </c>
      <c r="BV922" s="2" t="s">
        <v>95</v>
      </c>
      <c r="BW922" s="2" t="s">
        <v>98</v>
      </c>
      <c r="BX922" s="2" t="s">
        <v>98</v>
      </c>
      <c r="BY922" s="2" t="s">
        <v>111</v>
      </c>
    </row>
    <row r="923">
      <c r="A923" s="2" t="s">
        <v>3096</v>
      </c>
      <c r="B923" s="2" t="s">
        <v>86</v>
      </c>
      <c r="C923" s="2" t="s">
        <v>3085</v>
      </c>
      <c r="D923" s="2" t="s">
        <v>88</v>
      </c>
      <c r="E923" s="2" t="s">
        <v>88</v>
      </c>
      <c r="F923" s="2" t="s">
        <v>3086</v>
      </c>
      <c r="G923" s="2" t="s">
        <v>3086</v>
      </c>
      <c r="H923" s="2" t="s">
        <v>3086</v>
      </c>
      <c r="I923" s="2" t="s">
        <v>3090</v>
      </c>
      <c r="J923" s="2" t="s">
        <v>1791</v>
      </c>
      <c r="K923" s="2" t="s">
        <v>199</v>
      </c>
      <c r="L923" s="3">
        <v>17.02</v>
      </c>
      <c r="M923" s="3">
        <v>17.87</v>
      </c>
      <c r="N923" s="3">
        <v>49.99</v>
      </c>
      <c r="O923" s="2" t="s">
        <v>95</v>
      </c>
      <c r="P923" s="2" t="s">
        <v>313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100</v>
      </c>
      <c r="V923" s="2" t="s">
        <v>101</v>
      </c>
      <c r="W923" s="2" t="s">
        <v>2111</v>
      </c>
      <c r="X923" s="2" t="s">
        <v>98</v>
      </c>
      <c r="Y923" s="2" t="s">
        <v>862</v>
      </c>
      <c r="Z923" s="4">
        <v>20</v>
      </c>
      <c r="AA923" s="4">
        <f>=ROUNDDOWN(5,0)</f>
      </c>
      <c r="AB923" s="5">
        <v>4</v>
      </c>
      <c r="AC923" s="2" t="s">
        <v>98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98</v>
      </c>
      <c r="AW923" s="8" t="s">
        <v>98</v>
      </c>
      <c r="AX923" s="4" t="s">
        <v>98</v>
      </c>
      <c r="AY923" s="8" t="s">
        <v>98</v>
      </c>
      <c r="AZ923" s="7" t="s">
        <v>98</v>
      </c>
      <c r="BA923" s="7" t="s">
        <v>98</v>
      </c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/>
      <c r="BK923" s="8"/>
      <c r="BL923" s="2" t="s">
        <v>98</v>
      </c>
      <c r="BM923" s="7"/>
      <c r="BN923" s="7"/>
      <c r="BO923" s="4"/>
      <c r="BP923" s="8"/>
      <c r="BQ923" s="4"/>
      <c r="BR923" s="8"/>
      <c r="BS923" s="7"/>
      <c r="BT923" s="7"/>
      <c r="BU923" s="2" t="s">
        <v>316</v>
      </c>
      <c r="BV923" s="2" t="s">
        <v>95</v>
      </c>
      <c r="BW923" s="2" t="s">
        <v>98</v>
      </c>
      <c r="BX923" s="2" t="s">
        <v>98</v>
      </c>
      <c r="BY923" s="2" t="s">
        <v>111</v>
      </c>
    </row>
    <row r="924">
      <c r="A924" s="2" t="s">
        <v>3097</v>
      </c>
      <c r="B924" s="2" t="s">
        <v>86</v>
      </c>
      <c r="C924" s="2" t="s">
        <v>3085</v>
      </c>
      <c r="D924" s="2" t="s">
        <v>88</v>
      </c>
      <c r="E924" s="2" t="s">
        <v>88</v>
      </c>
      <c r="F924" s="2" t="s">
        <v>3086</v>
      </c>
      <c r="G924" s="2" t="s">
        <v>3086</v>
      </c>
      <c r="H924" s="2" t="s">
        <v>3086</v>
      </c>
      <c r="I924" s="2" t="s">
        <v>3087</v>
      </c>
      <c r="J924" s="2" t="s">
        <v>3078</v>
      </c>
      <c r="K924" s="2" t="s">
        <v>94</v>
      </c>
      <c r="L924" s="3">
        <v>27.23</v>
      </c>
      <c r="M924" s="3">
        <v>28.59</v>
      </c>
      <c r="N924" s="3">
        <v>79.99</v>
      </c>
      <c r="O924" s="2" t="s">
        <v>95</v>
      </c>
      <c r="P924" s="2" t="s">
        <v>313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100</v>
      </c>
      <c r="V924" s="2" t="s">
        <v>101</v>
      </c>
      <c r="W924" s="2" t="s">
        <v>2111</v>
      </c>
      <c r="X924" s="2" t="s">
        <v>98</v>
      </c>
      <c r="Y924" s="2" t="s">
        <v>862</v>
      </c>
      <c r="Z924" s="4">
        <v>159</v>
      </c>
      <c r="AA924" s="4">
        <f>=ROUNDDOWN(79.5,0)</f>
      </c>
      <c r="AB924" s="5">
        <v>2</v>
      </c>
      <c r="AC924" s="2" t="s">
        <v>98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 t="s">
        <v>98</v>
      </c>
      <c r="AW924" s="8" t="s">
        <v>98</v>
      </c>
      <c r="AX924" s="4" t="s">
        <v>98</v>
      </c>
      <c r="AY924" s="8" t="s">
        <v>98</v>
      </c>
      <c r="AZ924" s="7" t="s">
        <v>98</v>
      </c>
      <c r="BA924" s="7" t="s">
        <v>98</v>
      </c>
      <c r="BB924" s="7"/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316</v>
      </c>
      <c r="BV924" s="2" t="s">
        <v>95</v>
      </c>
      <c r="BW924" s="2" t="s">
        <v>98</v>
      </c>
      <c r="BX924" s="2" t="s">
        <v>98</v>
      </c>
      <c r="BY924" s="2" t="s">
        <v>111</v>
      </c>
    </row>
    <row r="925">
      <c r="A925" s="2" t="s">
        <v>3098</v>
      </c>
      <c r="B925" s="2" t="s">
        <v>86</v>
      </c>
      <c r="C925" s="2" t="s">
        <v>3085</v>
      </c>
      <c r="D925" s="2" t="s">
        <v>88</v>
      </c>
      <c r="E925" s="2" t="s">
        <v>88</v>
      </c>
      <c r="F925" s="2" t="s">
        <v>3086</v>
      </c>
      <c r="G925" s="2" t="s">
        <v>3086</v>
      </c>
      <c r="H925" s="2" t="s">
        <v>3086</v>
      </c>
      <c r="I925" s="2" t="s">
        <v>3087</v>
      </c>
      <c r="J925" s="2" t="s">
        <v>3083</v>
      </c>
      <c r="K925" s="2" t="s">
        <v>94</v>
      </c>
      <c r="L925" s="3">
        <v>23.83</v>
      </c>
      <c r="M925" s="3">
        <v>25.02</v>
      </c>
      <c r="N925" s="3">
        <v>69.99</v>
      </c>
      <c r="O925" s="2" t="s">
        <v>95</v>
      </c>
      <c r="P925" s="2" t="s">
        <v>313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100</v>
      </c>
      <c r="V925" s="2" t="s">
        <v>101</v>
      </c>
      <c r="W925" s="2" t="s">
        <v>2111</v>
      </c>
      <c r="X925" s="2" t="s">
        <v>98</v>
      </c>
      <c r="Y925" s="2" t="s">
        <v>862</v>
      </c>
      <c r="Z925" s="4">
        <v>197</v>
      </c>
      <c r="AA925" s="4">
        <f>=ROUNDDOWN(65.6666666666667,0)</f>
      </c>
      <c r="AB925" s="5">
        <v>3</v>
      </c>
      <c r="AC925" s="2" t="s">
        <v>98</v>
      </c>
      <c r="AD925" s="4"/>
      <c r="AE925" s="4"/>
      <c r="AF925" s="6">
        <v>65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 t="s">
        <v>98</v>
      </c>
      <c r="AW925" s="8" t="s">
        <v>98</v>
      </c>
      <c r="AX925" s="4" t="s">
        <v>98</v>
      </c>
      <c r="AY925" s="8" t="s">
        <v>98</v>
      </c>
      <c r="AZ925" s="7" t="s">
        <v>98</v>
      </c>
      <c r="BA925" s="7" t="s">
        <v>98</v>
      </c>
      <c r="BB925" s="7"/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/>
      <c r="BJ925" s="4">
        <v>2</v>
      </c>
      <c r="BK925" s="8">
        <v>29.7</v>
      </c>
      <c r="BL925" s="2" t="s">
        <v>3081</v>
      </c>
      <c r="BM925" s="7"/>
      <c r="BN925" s="7"/>
      <c r="BO925" s="4"/>
      <c r="BP925" s="8"/>
      <c r="BQ925" s="4"/>
      <c r="BR925" s="8"/>
      <c r="BS925" s="7"/>
      <c r="BT925" s="7"/>
      <c r="BU925" s="2" t="s">
        <v>316</v>
      </c>
      <c r="BV925" s="2" t="s">
        <v>95</v>
      </c>
      <c r="BW925" s="2" t="s">
        <v>98</v>
      </c>
      <c r="BX925" s="2" t="s">
        <v>98</v>
      </c>
      <c r="BY925" s="2" t="s">
        <v>111</v>
      </c>
    </row>
    <row r="926">
      <c r="A926" s="2" t="s">
        <v>3099</v>
      </c>
      <c r="B926" s="2" t="s">
        <v>86</v>
      </c>
      <c r="C926" s="2" t="s">
        <v>3085</v>
      </c>
      <c r="D926" s="2" t="s">
        <v>88</v>
      </c>
      <c r="E926" s="2" t="s">
        <v>88</v>
      </c>
      <c r="F926" s="2" t="s">
        <v>3086</v>
      </c>
      <c r="G926" s="2" t="s">
        <v>3086</v>
      </c>
      <c r="H926" s="2" t="s">
        <v>3086</v>
      </c>
      <c r="I926" s="2" t="s">
        <v>3090</v>
      </c>
      <c r="J926" s="2" t="s">
        <v>1791</v>
      </c>
      <c r="K926" s="2" t="s">
        <v>94</v>
      </c>
      <c r="L926" s="3">
        <v>17.02</v>
      </c>
      <c r="M926" s="3">
        <v>17.87</v>
      </c>
      <c r="N926" s="3">
        <v>49.99</v>
      </c>
      <c r="O926" s="2" t="s">
        <v>95</v>
      </c>
      <c r="P926" s="2" t="s">
        <v>313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100</v>
      </c>
      <c r="V926" s="2" t="s">
        <v>101</v>
      </c>
      <c r="W926" s="2" t="s">
        <v>2111</v>
      </c>
      <c r="X926" s="2" t="s">
        <v>98</v>
      </c>
      <c r="Y926" s="2" t="s">
        <v>862</v>
      </c>
      <c r="Z926" s="4">
        <v>129</v>
      </c>
      <c r="AA926" s="4">
        <f>=ROUNDDOWN(64.5,0)</f>
      </c>
      <c r="AB926" s="5">
        <v>2</v>
      </c>
      <c r="AC926" s="2" t="s">
        <v>98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 t="s">
        <v>98</v>
      </c>
      <c r="AW926" s="8" t="s">
        <v>98</v>
      </c>
      <c r="AX926" s="4" t="s">
        <v>98</v>
      </c>
      <c r="AY926" s="8" t="s">
        <v>98</v>
      </c>
      <c r="AZ926" s="7" t="s">
        <v>98</v>
      </c>
      <c r="BA926" s="7" t="s">
        <v>98</v>
      </c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>
        <v>3</v>
      </c>
      <c r="BK926" s="8">
        <v>27.12</v>
      </c>
      <c r="BL926" s="2" t="s">
        <v>3081</v>
      </c>
      <c r="BM926" s="7"/>
      <c r="BN926" s="7"/>
      <c r="BO926" s="4"/>
      <c r="BP926" s="8"/>
      <c r="BQ926" s="4"/>
      <c r="BR926" s="8"/>
      <c r="BS926" s="7"/>
      <c r="BT926" s="7"/>
      <c r="BU926" s="2" t="s">
        <v>316</v>
      </c>
      <c r="BV926" s="2" t="s">
        <v>95</v>
      </c>
      <c r="BW926" s="2" t="s">
        <v>98</v>
      </c>
      <c r="BX926" s="2" t="s">
        <v>98</v>
      </c>
      <c r="BY926" s="2" t="s">
        <v>111</v>
      </c>
    </row>
    <row r="927">
      <c r="A927" s="2" t="s">
        <v>3100</v>
      </c>
      <c r="B927" s="2" t="s">
        <v>86</v>
      </c>
      <c r="C927" s="2" t="s">
        <v>3085</v>
      </c>
      <c r="D927" s="2" t="s">
        <v>88</v>
      </c>
      <c r="E927" s="2" t="s">
        <v>88</v>
      </c>
      <c r="F927" s="2" t="s">
        <v>3101</v>
      </c>
      <c r="G927" s="2" t="s">
        <v>3101</v>
      </c>
      <c r="H927" s="2" t="s">
        <v>3101</v>
      </c>
      <c r="I927" s="2" t="s">
        <v>3102</v>
      </c>
      <c r="J927" s="2" t="s">
        <v>3078</v>
      </c>
      <c r="K927" s="2" t="s">
        <v>400</v>
      </c>
      <c r="L927" s="3">
        <v>17.02</v>
      </c>
      <c r="M927" s="3">
        <v>17.87</v>
      </c>
      <c r="N927" s="3">
        <v>49.99</v>
      </c>
      <c r="O927" s="2" t="s">
        <v>95</v>
      </c>
      <c r="P927" s="2" t="s">
        <v>313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100</v>
      </c>
      <c r="V927" s="2" t="s">
        <v>101</v>
      </c>
      <c r="W927" s="2" t="s">
        <v>2111</v>
      </c>
      <c r="X927" s="2" t="s">
        <v>98</v>
      </c>
      <c r="Y927" s="2" t="s">
        <v>3080</v>
      </c>
      <c r="Z927" s="4">
        <v>137</v>
      </c>
      <c r="AA927" s="4">
        <f>=ROUNDDOWN(274,0)</f>
      </c>
      <c r="AB927" s="5"/>
      <c r="AC927" s="2" t="s">
        <v>98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98</v>
      </c>
      <c r="AW927" s="8" t="s">
        <v>98</v>
      </c>
      <c r="AX927" s="4" t="s">
        <v>98</v>
      </c>
      <c r="AY927" s="8" t="s">
        <v>98</v>
      </c>
      <c r="AZ927" s="7" t="s">
        <v>98</v>
      </c>
      <c r="BA927" s="7" t="s">
        <v>98</v>
      </c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316</v>
      </c>
      <c r="BV927" s="2" t="s">
        <v>95</v>
      </c>
      <c r="BW927" s="2" t="s">
        <v>98</v>
      </c>
      <c r="BX927" s="2" t="s">
        <v>98</v>
      </c>
      <c r="BY927" s="2" t="s">
        <v>111</v>
      </c>
    </row>
    <row r="928">
      <c r="A928" s="2" t="s">
        <v>3103</v>
      </c>
      <c r="B928" s="2" t="s">
        <v>86</v>
      </c>
      <c r="C928" s="2" t="s">
        <v>3085</v>
      </c>
      <c r="D928" s="2" t="s">
        <v>88</v>
      </c>
      <c r="E928" s="2" t="s">
        <v>88</v>
      </c>
      <c r="F928" s="2" t="s">
        <v>3101</v>
      </c>
      <c r="G928" s="2" t="s">
        <v>3101</v>
      </c>
      <c r="H928" s="2" t="s">
        <v>3101</v>
      </c>
      <c r="I928" s="2" t="s">
        <v>3102</v>
      </c>
      <c r="J928" s="2" t="s">
        <v>3083</v>
      </c>
      <c r="K928" s="2" t="s">
        <v>400</v>
      </c>
      <c r="L928" s="3">
        <v>15.32</v>
      </c>
      <c r="M928" s="3">
        <v>16.09</v>
      </c>
      <c r="N928" s="3">
        <v>44.99</v>
      </c>
      <c r="O928" s="2" t="s">
        <v>95</v>
      </c>
      <c r="P928" s="2" t="s">
        <v>313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100</v>
      </c>
      <c r="V928" s="2" t="s">
        <v>101</v>
      </c>
      <c r="W928" s="2" t="s">
        <v>2111</v>
      </c>
      <c r="X928" s="2" t="s">
        <v>98</v>
      </c>
      <c r="Y928" s="2" t="s">
        <v>3080</v>
      </c>
      <c r="Z928" s="4">
        <v>332</v>
      </c>
      <c r="AA928" s="4">
        <f>=ROUNDDOWN(255.384615384615,0)</f>
      </c>
      <c r="AB928" s="5">
        <v>1.3</v>
      </c>
      <c r="AC928" s="2" t="s">
        <v>98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 t="s">
        <v>98</v>
      </c>
      <c r="AW928" s="8" t="s">
        <v>98</v>
      </c>
      <c r="AX928" s="4" t="s">
        <v>98</v>
      </c>
      <c r="AY928" s="8" t="s">
        <v>98</v>
      </c>
      <c r="AZ928" s="7" t="s">
        <v>98</v>
      </c>
      <c r="BA928" s="7" t="s">
        <v>98</v>
      </c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316</v>
      </c>
      <c r="BV928" s="2" t="s">
        <v>95</v>
      </c>
      <c r="BW928" s="2" t="s">
        <v>98</v>
      </c>
      <c r="BX928" s="2" t="s">
        <v>98</v>
      </c>
      <c r="BY928" s="2" t="s">
        <v>111</v>
      </c>
    </row>
    <row r="929">
      <c r="A929" s="2" t="s">
        <v>3104</v>
      </c>
      <c r="B929" s="2" t="s">
        <v>86</v>
      </c>
      <c r="C929" s="2" t="s">
        <v>3085</v>
      </c>
      <c r="D929" s="2" t="s">
        <v>88</v>
      </c>
      <c r="E929" s="2" t="s">
        <v>88</v>
      </c>
      <c r="F929" s="2" t="s">
        <v>3101</v>
      </c>
      <c r="G929" s="2" t="s">
        <v>3101</v>
      </c>
      <c r="H929" s="2" t="s">
        <v>3101</v>
      </c>
      <c r="I929" s="2" t="s">
        <v>3102</v>
      </c>
      <c r="J929" s="2" t="s">
        <v>3078</v>
      </c>
      <c r="K929" s="2" t="s">
        <v>94</v>
      </c>
      <c r="L929" s="3">
        <v>17.02</v>
      </c>
      <c r="M929" s="3">
        <v>17.87</v>
      </c>
      <c r="N929" s="3">
        <v>49.99</v>
      </c>
      <c r="O929" s="2" t="s">
        <v>95</v>
      </c>
      <c r="P929" s="2" t="s">
        <v>313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100</v>
      </c>
      <c r="V929" s="2" t="s">
        <v>101</v>
      </c>
      <c r="W929" s="2" t="s">
        <v>2111</v>
      </c>
      <c r="X929" s="2" t="s">
        <v>98</v>
      </c>
      <c r="Y929" s="2" t="s">
        <v>3080</v>
      </c>
      <c r="Z929" s="4">
        <v>117</v>
      </c>
      <c r="AA929" s="4">
        <f>=ROUNDDOWN(117,0)</f>
      </c>
      <c r="AB929" s="5">
        <v>1</v>
      </c>
      <c r="AC929" s="2" t="s">
        <v>98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/>
      <c r="AP929" s="4"/>
      <c r="AQ929" s="8"/>
      <c r="AR929" s="4"/>
      <c r="AS929" s="8"/>
      <c r="AT929" s="7"/>
      <c r="AU929" s="7"/>
      <c r="AV929" s="4" t="s">
        <v>98</v>
      </c>
      <c r="AW929" s="8" t="s">
        <v>98</v>
      </c>
      <c r="AX929" s="4" t="s">
        <v>98</v>
      </c>
      <c r="AY929" s="8" t="s">
        <v>98</v>
      </c>
      <c r="AZ929" s="7" t="s">
        <v>98</v>
      </c>
      <c r="BA929" s="7" t="s">
        <v>98</v>
      </c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316</v>
      </c>
      <c r="BV929" s="2" t="s">
        <v>95</v>
      </c>
      <c r="BW929" s="2" t="s">
        <v>98</v>
      </c>
      <c r="BX929" s="2" t="s">
        <v>98</v>
      </c>
      <c r="BY929" s="2" t="s">
        <v>111</v>
      </c>
    </row>
    <row r="930">
      <c r="A930" s="2" t="s">
        <v>3105</v>
      </c>
      <c r="B930" s="2" t="s">
        <v>86</v>
      </c>
      <c r="C930" s="2" t="s">
        <v>3085</v>
      </c>
      <c r="D930" s="2" t="s">
        <v>88</v>
      </c>
      <c r="E930" s="2" t="s">
        <v>88</v>
      </c>
      <c r="F930" s="2" t="s">
        <v>3101</v>
      </c>
      <c r="G930" s="2" t="s">
        <v>3101</v>
      </c>
      <c r="H930" s="2" t="s">
        <v>3101</v>
      </c>
      <c r="I930" s="2" t="s">
        <v>3102</v>
      </c>
      <c r="J930" s="2" t="s">
        <v>3083</v>
      </c>
      <c r="K930" s="2" t="s">
        <v>94</v>
      </c>
      <c r="L930" s="3">
        <v>15.32</v>
      </c>
      <c r="M930" s="3">
        <v>16.09</v>
      </c>
      <c r="N930" s="3">
        <v>44.99</v>
      </c>
      <c r="O930" s="2" t="s">
        <v>95</v>
      </c>
      <c r="P930" s="2" t="s">
        <v>313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101</v>
      </c>
      <c r="W930" s="2" t="s">
        <v>2111</v>
      </c>
      <c r="X930" s="2" t="s">
        <v>98</v>
      </c>
      <c r="Y930" s="2" t="s">
        <v>3080</v>
      </c>
      <c r="Z930" s="4">
        <v>317</v>
      </c>
      <c r="AA930" s="4">
        <f>=ROUNDDOWN(158.5,0)</f>
      </c>
      <c r="AB930" s="5">
        <v>2</v>
      </c>
      <c r="AC930" s="2" t="s">
        <v>98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98</v>
      </c>
      <c r="AW930" s="8" t="s">
        <v>98</v>
      </c>
      <c r="AX930" s="4" t="s">
        <v>98</v>
      </c>
      <c r="AY930" s="8" t="s">
        <v>98</v>
      </c>
      <c r="AZ930" s="7" t="s">
        <v>98</v>
      </c>
      <c r="BA930" s="7" t="s">
        <v>98</v>
      </c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>
        <v>2</v>
      </c>
      <c r="BK930" s="8">
        <v>15.48</v>
      </c>
      <c r="BL930" s="2" t="s">
        <v>3081</v>
      </c>
      <c r="BM930" s="7"/>
      <c r="BN930" s="7"/>
      <c r="BO930" s="4"/>
      <c r="BP930" s="8"/>
      <c r="BQ930" s="4"/>
      <c r="BR930" s="8"/>
      <c r="BS930" s="7"/>
      <c r="BT930" s="7"/>
      <c r="BU930" s="2" t="s">
        <v>316</v>
      </c>
      <c r="BV930" s="2" t="s">
        <v>95</v>
      </c>
      <c r="BW930" s="2" t="s">
        <v>98</v>
      </c>
      <c r="BX930" s="2" t="s">
        <v>98</v>
      </c>
      <c r="BY930" s="2" t="s">
        <v>111</v>
      </c>
    </row>
    <row r="931">
      <c r="A931" s="2" t="s">
        <v>3106</v>
      </c>
      <c r="B931" s="2" t="s">
        <v>86</v>
      </c>
      <c r="C931" s="2" t="s">
        <v>3085</v>
      </c>
      <c r="D931" s="2" t="s">
        <v>88</v>
      </c>
      <c r="E931" s="2" t="s">
        <v>88</v>
      </c>
      <c r="F931" s="2" t="s">
        <v>3107</v>
      </c>
      <c r="G931" s="2" t="s">
        <v>3107</v>
      </c>
      <c r="H931" s="2" t="s">
        <v>3107</v>
      </c>
      <c r="I931" s="2" t="s">
        <v>3108</v>
      </c>
      <c r="J931" s="2" t="s">
        <v>3078</v>
      </c>
      <c r="K931" s="2" t="s">
        <v>2637</v>
      </c>
      <c r="L931" s="3">
        <v>23.83</v>
      </c>
      <c r="M931" s="3">
        <v>25.02</v>
      </c>
      <c r="N931" s="3">
        <v>69.99</v>
      </c>
      <c r="O931" s="2" t="s">
        <v>95</v>
      </c>
      <c r="P931" s="2" t="s">
        <v>313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522</v>
      </c>
      <c r="W931" s="2" t="s">
        <v>2111</v>
      </c>
      <c r="X931" s="2" t="s">
        <v>98</v>
      </c>
      <c r="Y931" s="2" t="s">
        <v>2352</v>
      </c>
      <c r="Z931" s="4"/>
      <c r="AA931" s="4">
        <f>=ROUNDDOWN({0},0)</f>
      </c>
      <c r="AB931" s="5">
        <v>1</v>
      </c>
      <c r="AC931" s="2" t="s">
        <v>98</v>
      </c>
      <c r="AD931" s="4"/>
      <c r="AE931" s="4"/>
      <c r="AF931" s="6">
        <v>65</v>
      </c>
      <c r="AG931" s="6"/>
      <c r="AH931" s="7">
        <v>0.9889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98</v>
      </c>
      <c r="AW931" s="8" t="s">
        <v>98</v>
      </c>
      <c r="AX931" s="4" t="s">
        <v>98</v>
      </c>
      <c r="AY931" s="8" t="s">
        <v>98</v>
      </c>
      <c r="AZ931" s="7" t="s">
        <v>98</v>
      </c>
      <c r="BA931" s="7" t="s">
        <v>98</v>
      </c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>
        <v>8</v>
      </c>
      <c r="BK931" s="8">
        <v>113.92</v>
      </c>
      <c r="BL931" s="2" t="s">
        <v>3081</v>
      </c>
      <c r="BM931" s="7"/>
      <c r="BN931" s="7"/>
      <c r="BO931" s="4"/>
      <c r="BP931" s="8"/>
      <c r="BQ931" s="4"/>
      <c r="BR931" s="8"/>
      <c r="BS931" s="7"/>
      <c r="BT931" s="7"/>
      <c r="BU931" s="2" t="s">
        <v>316</v>
      </c>
      <c r="BV931" s="2" t="s">
        <v>95</v>
      </c>
      <c r="BW931" s="2" t="s">
        <v>98</v>
      </c>
      <c r="BX931" s="2" t="s">
        <v>98</v>
      </c>
      <c r="BY931" s="2" t="s">
        <v>111</v>
      </c>
    </row>
    <row r="932">
      <c r="A932" s="2" t="s">
        <v>3109</v>
      </c>
      <c r="B932" s="2" t="s">
        <v>86</v>
      </c>
      <c r="C932" s="2" t="s">
        <v>3085</v>
      </c>
      <c r="D932" s="2" t="s">
        <v>88</v>
      </c>
      <c r="E932" s="2" t="s">
        <v>88</v>
      </c>
      <c r="F932" s="2" t="s">
        <v>3107</v>
      </c>
      <c r="G932" s="2" t="s">
        <v>3107</v>
      </c>
      <c r="H932" s="2" t="s">
        <v>3107</v>
      </c>
      <c r="I932" s="2" t="s">
        <v>3108</v>
      </c>
      <c r="J932" s="2" t="s">
        <v>3083</v>
      </c>
      <c r="K932" s="2" t="s">
        <v>2637</v>
      </c>
      <c r="L932" s="3">
        <v>20.43</v>
      </c>
      <c r="M932" s="3">
        <v>21.45</v>
      </c>
      <c r="N932" s="3">
        <v>59.99</v>
      </c>
      <c r="O932" s="2" t="s">
        <v>95</v>
      </c>
      <c r="P932" s="2" t="s">
        <v>313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100</v>
      </c>
      <c r="V932" s="2" t="s">
        <v>522</v>
      </c>
      <c r="W932" s="2" t="s">
        <v>2111</v>
      </c>
      <c r="X932" s="2" t="s">
        <v>98</v>
      </c>
      <c r="Y932" s="2" t="s">
        <v>2352</v>
      </c>
      <c r="Z932" s="4">
        <v>47</v>
      </c>
      <c r="AA932" s="4">
        <f>=ROUNDDOWN({0},0)</f>
      </c>
      <c r="AB932" s="5"/>
      <c r="AC932" s="2" t="s">
        <v>98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 t="s">
        <v>98</v>
      </c>
      <c r="AW932" s="8" t="s">
        <v>98</v>
      </c>
      <c r="AX932" s="4" t="s">
        <v>98</v>
      </c>
      <c r="AY932" s="8" t="s">
        <v>98</v>
      </c>
      <c r="AZ932" s="7" t="s">
        <v>98</v>
      </c>
      <c r="BA932" s="7" t="s">
        <v>98</v>
      </c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316</v>
      </c>
      <c r="BV932" s="2" t="s">
        <v>95</v>
      </c>
      <c r="BW932" s="2" t="s">
        <v>98</v>
      </c>
      <c r="BX932" s="2" t="s">
        <v>98</v>
      </c>
      <c r="BY932" s="2" t="s">
        <v>111</v>
      </c>
    </row>
    <row r="933">
      <c r="A933" s="2" t="s">
        <v>3110</v>
      </c>
      <c r="B933" s="2" t="s">
        <v>86</v>
      </c>
      <c r="C933" s="2" t="s">
        <v>3085</v>
      </c>
      <c r="D933" s="2" t="s">
        <v>88</v>
      </c>
      <c r="E933" s="2" t="s">
        <v>88</v>
      </c>
      <c r="F933" s="2" t="s">
        <v>3107</v>
      </c>
      <c r="G933" s="2" t="s">
        <v>3107</v>
      </c>
      <c r="H933" s="2" t="s">
        <v>3107</v>
      </c>
      <c r="I933" s="2" t="s">
        <v>3108</v>
      </c>
      <c r="J933" s="2" t="s">
        <v>3078</v>
      </c>
      <c r="K933" s="2" t="s">
        <v>3111</v>
      </c>
      <c r="L933" s="3">
        <v>23.83</v>
      </c>
      <c r="M933" s="3">
        <v>25.02</v>
      </c>
      <c r="N933" s="3">
        <v>69.99</v>
      </c>
      <c r="O933" s="2" t="s">
        <v>95</v>
      </c>
      <c r="P933" s="2" t="s">
        <v>313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100</v>
      </c>
      <c r="V933" s="2" t="s">
        <v>522</v>
      </c>
      <c r="W933" s="2" t="s">
        <v>2111</v>
      </c>
      <c r="X933" s="2" t="s">
        <v>98</v>
      </c>
      <c r="Y933" s="2" t="s">
        <v>2352</v>
      </c>
      <c r="Z933" s="4"/>
      <c r="AA933" s="4">
        <f>=ROUNDDOWN({0},0)</f>
      </c>
      <c r="AB933" s="5">
        <v>1</v>
      </c>
      <c r="AC933" s="2" t="s">
        <v>98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 t="s">
        <v>98</v>
      </c>
      <c r="AW933" s="8" t="s">
        <v>98</v>
      </c>
      <c r="AX933" s="4" t="s">
        <v>98</v>
      </c>
      <c r="AY933" s="8" t="s">
        <v>98</v>
      </c>
      <c r="AZ933" s="7" t="s">
        <v>98</v>
      </c>
      <c r="BA933" s="7" t="s">
        <v>98</v>
      </c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7</v>
      </c>
      <c r="BK933" s="8">
        <v>99.68</v>
      </c>
      <c r="BL933" s="2" t="s">
        <v>3081</v>
      </c>
      <c r="BM933" s="7"/>
      <c r="BN933" s="7"/>
      <c r="BO933" s="4"/>
      <c r="BP933" s="8"/>
      <c r="BQ933" s="4"/>
      <c r="BR933" s="8"/>
      <c r="BS933" s="7"/>
      <c r="BT933" s="7"/>
      <c r="BU933" s="2" t="s">
        <v>316</v>
      </c>
      <c r="BV933" s="2" t="s">
        <v>95</v>
      </c>
      <c r="BW933" s="2" t="s">
        <v>98</v>
      </c>
      <c r="BX933" s="2" t="s">
        <v>98</v>
      </c>
      <c r="BY933" s="2" t="s">
        <v>111</v>
      </c>
    </row>
    <row r="934">
      <c r="A934" s="2" t="s">
        <v>3112</v>
      </c>
      <c r="B934" s="2" t="s">
        <v>86</v>
      </c>
      <c r="C934" s="2" t="s">
        <v>3085</v>
      </c>
      <c r="D934" s="2" t="s">
        <v>88</v>
      </c>
      <c r="E934" s="2" t="s">
        <v>88</v>
      </c>
      <c r="F934" s="2" t="s">
        <v>3107</v>
      </c>
      <c r="G934" s="2" t="s">
        <v>3107</v>
      </c>
      <c r="H934" s="2" t="s">
        <v>3107</v>
      </c>
      <c r="I934" s="2" t="s">
        <v>3108</v>
      </c>
      <c r="J934" s="2" t="s">
        <v>3083</v>
      </c>
      <c r="K934" s="2" t="s">
        <v>3111</v>
      </c>
      <c r="L934" s="3">
        <v>20.43</v>
      </c>
      <c r="M934" s="3">
        <v>21.45</v>
      </c>
      <c r="N934" s="3">
        <v>59.99</v>
      </c>
      <c r="O934" s="2" t="s">
        <v>95</v>
      </c>
      <c r="P934" s="2" t="s">
        <v>313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100</v>
      </c>
      <c r="V934" s="2" t="s">
        <v>522</v>
      </c>
      <c r="W934" s="2" t="s">
        <v>2111</v>
      </c>
      <c r="X934" s="2" t="s">
        <v>98</v>
      </c>
      <c r="Y934" s="2" t="s">
        <v>2352</v>
      </c>
      <c r="Z934" s="4"/>
      <c r="AA934" s="4">
        <f>=ROUNDDOWN({0},0)</f>
      </c>
      <c r="AB934" s="5">
        <v>3</v>
      </c>
      <c r="AC934" s="2" t="s">
        <v>98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 t="s">
        <v>98</v>
      </c>
      <c r="AW934" s="8" t="s">
        <v>98</v>
      </c>
      <c r="AX934" s="4" t="s">
        <v>98</v>
      </c>
      <c r="AY934" s="8" t="s">
        <v>98</v>
      </c>
      <c r="AZ934" s="7" t="s">
        <v>98</v>
      </c>
      <c r="BA934" s="7" t="s">
        <v>98</v>
      </c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>
        <v>10</v>
      </c>
      <c r="BK934" s="8">
        <v>130.3</v>
      </c>
      <c r="BL934" s="2" t="s">
        <v>3081</v>
      </c>
      <c r="BM934" s="7"/>
      <c r="BN934" s="7"/>
      <c r="BO934" s="4"/>
      <c r="BP934" s="8"/>
      <c r="BQ934" s="4"/>
      <c r="BR934" s="8"/>
      <c r="BS934" s="7"/>
      <c r="BT934" s="7"/>
      <c r="BU934" s="2" t="s">
        <v>316</v>
      </c>
      <c r="BV934" s="2" t="s">
        <v>95</v>
      </c>
      <c r="BW934" s="2" t="s">
        <v>98</v>
      </c>
      <c r="BX934" s="2" t="s">
        <v>98</v>
      </c>
      <c r="BY934" s="2" t="s">
        <v>111</v>
      </c>
    </row>
    <row r="935">
      <c r="A935" s="2" t="s">
        <v>3113</v>
      </c>
      <c r="B935" s="2" t="s">
        <v>86</v>
      </c>
      <c r="C935" s="2" t="s">
        <v>3114</v>
      </c>
      <c r="D935" s="2" t="s">
        <v>88</v>
      </c>
      <c r="E935" s="2" t="s">
        <v>88</v>
      </c>
      <c r="F935" s="2" t="s">
        <v>3115</v>
      </c>
      <c r="G935" s="2" t="s">
        <v>3115</v>
      </c>
      <c r="H935" s="2" t="s">
        <v>3115</v>
      </c>
      <c r="I935" s="2" t="s">
        <v>3116</v>
      </c>
      <c r="J935" s="2" t="s">
        <v>3078</v>
      </c>
      <c r="K935" s="2" t="s">
        <v>464</v>
      </c>
      <c r="L935" s="3">
        <v>27.23</v>
      </c>
      <c r="M935" s="3">
        <v>28.59</v>
      </c>
      <c r="N935" s="3">
        <v>79.99</v>
      </c>
      <c r="O935" s="2" t="s">
        <v>95</v>
      </c>
      <c r="P935" s="2" t="s">
        <v>313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100</v>
      </c>
      <c r="V935" s="2" t="s">
        <v>762</v>
      </c>
      <c r="W935" s="2" t="s">
        <v>335</v>
      </c>
      <c r="X935" s="2" t="s">
        <v>98</v>
      </c>
      <c r="Y935" s="2" t="s">
        <v>3080</v>
      </c>
      <c r="Z935" s="4">
        <v>43</v>
      </c>
      <c r="AA935" s="4">
        <f>=ROUNDDOWN(43,0)</f>
      </c>
      <c r="AB935" s="5">
        <v>1</v>
      </c>
      <c r="AC935" s="2" t="s">
        <v>98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 t="s">
        <v>98</v>
      </c>
      <c r="AW935" s="8" t="s">
        <v>98</v>
      </c>
      <c r="AX935" s="4" t="s">
        <v>98</v>
      </c>
      <c r="AY935" s="8" t="s">
        <v>98</v>
      </c>
      <c r="AZ935" s="7" t="s">
        <v>98</v>
      </c>
      <c r="BA935" s="7" t="s">
        <v>98</v>
      </c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316</v>
      </c>
      <c r="BV935" s="2" t="s">
        <v>95</v>
      </c>
      <c r="BW935" s="2" t="s">
        <v>98</v>
      </c>
      <c r="BX935" s="2" t="s">
        <v>98</v>
      </c>
      <c r="BY935" s="2" t="s">
        <v>111</v>
      </c>
    </row>
    <row r="936">
      <c r="A936" s="2" t="s">
        <v>3117</v>
      </c>
      <c r="B936" s="2" t="s">
        <v>86</v>
      </c>
      <c r="C936" s="2" t="s">
        <v>3114</v>
      </c>
      <c r="D936" s="2" t="s">
        <v>88</v>
      </c>
      <c r="E936" s="2" t="s">
        <v>88</v>
      </c>
      <c r="F936" s="2" t="s">
        <v>3115</v>
      </c>
      <c r="G936" s="2" t="s">
        <v>3115</v>
      </c>
      <c r="H936" s="2" t="s">
        <v>3115</v>
      </c>
      <c r="I936" s="2" t="s">
        <v>3116</v>
      </c>
      <c r="J936" s="2" t="s">
        <v>3083</v>
      </c>
      <c r="K936" s="2" t="s">
        <v>464</v>
      </c>
      <c r="L936" s="3">
        <v>23.83</v>
      </c>
      <c r="M936" s="3">
        <v>25.02</v>
      </c>
      <c r="N936" s="3">
        <v>69.99</v>
      </c>
      <c r="O936" s="2" t="s">
        <v>95</v>
      </c>
      <c r="P936" s="2" t="s">
        <v>313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100</v>
      </c>
      <c r="V936" s="2" t="s">
        <v>762</v>
      </c>
      <c r="W936" s="2" t="s">
        <v>335</v>
      </c>
      <c r="X936" s="2" t="s">
        <v>98</v>
      </c>
      <c r="Y936" s="2" t="s">
        <v>3080</v>
      </c>
      <c r="Z936" s="4">
        <v>61</v>
      </c>
      <c r="AA936" s="4">
        <f>=ROUNDDOWN(20.3333333333333,0)</f>
      </c>
      <c r="AB936" s="5">
        <v>3</v>
      </c>
      <c r="AC936" s="2" t="s">
        <v>98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 t="s">
        <v>98</v>
      </c>
      <c r="AW936" s="8" t="s">
        <v>98</v>
      </c>
      <c r="AX936" s="4" t="s">
        <v>98</v>
      </c>
      <c r="AY936" s="8" t="s">
        <v>98</v>
      </c>
      <c r="AZ936" s="7" t="s">
        <v>98</v>
      </c>
      <c r="BA936" s="7" t="s">
        <v>98</v>
      </c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2</v>
      </c>
      <c r="BK936" s="8">
        <v>32.54</v>
      </c>
      <c r="BL936" s="2" t="s">
        <v>3081</v>
      </c>
      <c r="BM936" s="7"/>
      <c r="BN936" s="7"/>
      <c r="BO936" s="4"/>
      <c r="BP936" s="8"/>
      <c r="BQ936" s="4"/>
      <c r="BR936" s="8"/>
      <c r="BS936" s="7"/>
      <c r="BT936" s="7"/>
      <c r="BU936" s="2" t="s">
        <v>316</v>
      </c>
      <c r="BV936" s="2" t="s">
        <v>95</v>
      </c>
      <c r="BW936" s="2" t="s">
        <v>98</v>
      </c>
      <c r="BX936" s="2" t="s">
        <v>98</v>
      </c>
      <c r="BY936" s="2" t="s">
        <v>111</v>
      </c>
    </row>
    <row r="937">
      <c r="A937" s="2" t="s">
        <v>3118</v>
      </c>
      <c r="B937" s="2" t="s">
        <v>86</v>
      </c>
      <c r="C937" s="2" t="s">
        <v>3114</v>
      </c>
      <c r="D937" s="2" t="s">
        <v>88</v>
      </c>
      <c r="E937" s="2" t="s">
        <v>88</v>
      </c>
      <c r="F937" s="2" t="s">
        <v>3115</v>
      </c>
      <c r="G937" s="2" t="s">
        <v>3115</v>
      </c>
      <c r="H937" s="2" t="s">
        <v>3115</v>
      </c>
      <c r="I937" s="2" t="s">
        <v>3116</v>
      </c>
      <c r="J937" s="2" t="s">
        <v>3078</v>
      </c>
      <c r="K937" s="2" t="s">
        <v>1380</v>
      </c>
      <c r="L937" s="3">
        <v>27.23</v>
      </c>
      <c r="M937" s="3">
        <v>28.59</v>
      </c>
      <c r="N937" s="3">
        <v>79.99</v>
      </c>
      <c r="O937" s="2" t="s">
        <v>95</v>
      </c>
      <c r="P937" s="2" t="s">
        <v>313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100</v>
      </c>
      <c r="V937" s="2" t="s">
        <v>762</v>
      </c>
      <c r="W937" s="2" t="s">
        <v>335</v>
      </c>
      <c r="X937" s="2" t="s">
        <v>98</v>
      </c>
      <c r="Y937" s="2" t="s">
        <v>3080</v>
      </c>
      <c r="Z937" s="4">
        <v>65</v>
      </c>
      <c r="AA937" s="4">
        <f>=ROUNDDOWN(65,0)</f>
      </c>
      <c r="AB937" s="5">
        <v>1</v>
      </c>
      <c r="AC937" s="2" t="s">
        <v>98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 t="s">
        <v>98</v>
      </c>
      <c r="AW937" s="8" t="s">
        <v>98</v>
      </c>
      <c r="AX937" s="4" t="s">
        <v>98</v>
      </c>
      <c r="AY937" s="8" t="s">
        <v>98</v>
      </c>
      <c r="AZ937" s="7" t="s">
        <v>98</v>
      </c>
      <c r="BA937" s="7" t="s">
        <v>98</v>
      </c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316</v>
      </c>
      <c r="BV937" s="2" t="s">
        <v>95</v>
      </c>
      <c r="BW937" s="2" t="s">
        <v>98</v>
      </c>
      <c r="BX937" s="2" t="s">
        <v>98</v>
      </c>
      <c r="BY937" s="2" t="s">
        <v>111</v>
      </c>
    </row>
    <row r="938">
      <c r="A938" s="2" t="s">
        <v>3119</v>
      </c>
      <c r="B938" s="2" t="s">
        <v>86</v>
      </c>
      <c r="C938" s="2" t="s">
        <v>3114</v>
      </c>
      <c r="D938" s="2" t="s">
        <v>88</v>
      </c>
      <c r="E938" s="2" t="s">
        <v>88</v>
      </c>
      <c r="F938" s="2" t="s">
        <v>3115</v>
      </c>
      <c r="G938" s="2" t="s">
        <v>3115</v>
      </c>
      <c r="H938" s="2" t="s">
        <v>3115</v>
      </c>
      <c r="I938" s="2" t="s">
        <v>3116</v>
      </c>
      <c r="J938" s="2" t="s">
        <v>3083</v>
      </c>
      <c r="K938" s="2" t="s">
        <v>1380</v>
      </c>
      <c r="L938" s="3">
        <v>23.83</v>
      </c>
      <c r="M938" s="3">
        <v>25.02</v>
      </c>
      <c r="N938" s="3">
        <v>69.99</v>
      </c>
      <c r="O938" s="2" t="s">
        <v>95</v>
      </c>
      <c r="P938" s="2" t="s">
        <v>313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100</v>
      </c>
      <c r="V938" s="2" t="s">
        <v>762</v>
      </c>
      <c r="W938" s="2" t="s">
        <v>335</v>
      </c>
      <c r="X938" s="2" t="s">
        <v>98</v>
      </c>
      <c r="Y938" s="2" t="s">
        <v>3080</v>
      </c>
      <c r="Z938" s="4">
        <v>145</v>
      </c>
      <c r="AA938" s="4">
        <f>=ROUNDDOWN(96.6666666666667,0)</f>
      </c>
      <c r="AB938" s="5">
        <v>1.5</v>
      </c>
      <c r="AC938" s="2" t="s">
        <v>98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 t="s">
        <v>98</v>
      </c>
      <c r="AW938" s="8" t="s">
        <v>98</v>
      </c>
      <c r="AX938" s="4" t="s">
        <v>98</v>
      </c>
      <c r="AY938" s="8" t="s">
        <v>98</v>
      </c>
      <c r="AZ938" s="7" t="s">
        <v>98</v>
      </c>
      <c r="BA938" s="7" t="s">
        <v>98</v>
      </c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316</v>
      </c>
      <c r="BV938" s="2" t="s">
        <v>95</v>
      </c>
      <c r="BW938" s="2" t="s">
        <v>98</v>
      </c>
      <c r="BX938" s="2" t="s">
        <v>98</v>
      </c>
      <c r="BY938" s="2" t="s">
        <v>111</v>
      </c>
    </row>
    <row r="939">
      <c r="A939" s="2" t="s">
        <v>3120</v>
      </c>
      <c r="B939" s="2" t="s">
        <v>86</v>
      </c>
      <c r="C939" s="2" t="s">
        <v>3121</v>
      </c>
      <c r="D939" s="2" t="s">
        <v>2002</v>
      </c>
      <c r="E939" s="2" t="s">
        <v>3121</v>
      </c>
      <c r="F939" s="2" t="s">
        <v>3122</v>
      </c>
      <c r="G939" s="2" t="s">
        <v>98</v>
      </c>
      <c r="H939" s="2" t="s">
        <v>98</v>
      </c>
      <c r="I939" s="2" t="s">
        <v>98</v>
      </c>
      <c r="J939" s="2" t="s">
        <v>3123</v>
      </c>
      <c r="K939" s="2" t="s">
        <v>2693</v>
      </c>
      <c r="L939" s="3">
        <v>9.75</v>
      </c>
      <c r="M939" s="3"/>
      <c r="N939" s="3"/>
      <c r="O939" s="2" t="s">
        <v>95</v>
      </c>
      <c r="P939" s="2" t="s">
        <v>98</v>
      </c>
      <c r="Q939" s="2" t="s">
        <v>98</v>
      </c>
      <c r="R939" s="2" t="s">
        <v>3124</v>
      </c>
      <c r="S939" s="2" t="s">
        <v>98</v>
      </c>
      <c r="T939" s="2" t="s">
        <v>98</v>
      </c>
      <c r="U939" s="2" t="s">
        <v>98</v>
      </c>
      <c r="V939" s="2" t="s">
        <v>98</v>
      </c>
      <c r="W939" s="2" t="s">
        <v>98</v>
      </c>
      <c r="X939" s="2" t="s">
        <v>98</v>
      </c>
      <c r="Y939" s="2" t="s">
        <v>98</v>
      </c>
      <c r="Z939" s="4"/>
      <c r="AA939" s="4">
        <f>=ROUNDDOWN({0},0)</f>
      </c>
      <c r="AB939" s="5"/>
      <c r="AC939" s="2" t="s">
        <v>98</v>
      </c>
      <c r="AD939" s="4"/>
      <c r="AE939" s="4"/>
      <c r="AF939" s="6"/>
      <c r="AG939" s="6"/>
      <c r="AH939" s="7">
        <v>0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98</v>
      </c>
      <c r="BV939" s="2" t="s">
        <v>98</v>
      </c>
      <c r="BW939" s="2" t="s">
        <v>98</v>
      </c>
      <c r="BX939" s="2" t="s">
        <v>98</v>
      </c>
      <c r="BY939" s="2" t="s">
        <v>98</v>
      </c>
    </row>
    <row r="940">
      <c r="A940" s="2" t="s">
        <v>3125</v>
      </c>
      <c r="B940" s="2" t="s">
        <v>86</v>
      </c>
      <c r="C940" s="2" t="s">
        <v>3121</v>
      </c>
      <c r="D940" s="2" t="s">
        <v>2002</v>
      </c>
      <c r="E940" s="2" t="s">
        <v>3121</v>
      </c>
      <c r="F940" s="2" t="s">
        <v>3126</v>
      </c>
      <c r="G940" s="2" t="s">
        <v>98</v>
      </c>
      <c r="H940" s="2" t="s">
        <v>98</v>
      </c>
      <c r="I940" s="2" t="s">
        <v>98</v>
      </c>
      <c r="J940" s="2" t="s">
        <v>3123</v>
      </c>
      <c r="K940" s="2" t="s">
        <v>2693</v>
      </c>
      <c r="L940" s="3">
        <v>9.75</v>
      </c>
      <c r="M940" s="3"/>
      <c r="N940" s="3"/>
      <c r="O940" s="2" t="s">
        <v>95</v>
      </c>
      <c r="P940" s="2" t="s">
        <v>98</v>
      </c>
      <c r="Q940" s="2" t="s">
        <v>98</v>
      </c>
      <c r="R940" s="2" t="s">
        <v>3124</v>
      </c>
      <c r="S940" s="2" t="s">
        <v>98</v>
      </c>
      <c r="T940" s="2" t="s">
        <v>98</v>
      </c>
      <c r="U940" s="2" t="s">
        <v>98</v>
      </c>
      <c r="V940" s="2" t="s">
        <v>98</v>
      </c>
      <c r="W940" s="2" t="s">
        <v>98</v>
      </c>
      <c r="X940" s="2" t="s">
        <v>98</v>
      </c>
      <c r="Y940" s="2" t="s">
        <v>98</v>
      </c>
      <c r="Z940" s="4"/>
      <c r="AA940" s="4">
        <f>=ROUNDDOWN({0},0)</f>
      </c>
      <c r="AB940" s="5"/>
      <c r="AC940" s="2" t="s">
        <v>98</v>
      </c>
      <c r="AD940" s="4"/>
      <c r="AE940" s="4"/>
      <c r="AF940" s="6"/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98</v>
      </c>
      <c r="BV940" s="2" t="s">
        <v>98</v>
      </c>
      <c r="BW940" s="2" t="s">
        <v>98</v>
      </c>
      <c r="BX940" s="2" t="s">
        <v>98</v>
      </c>
      <c r="BY940" s="2" t="s">
        <v>98</v>
      </c>
    </row>
    <row r="941">
      <c r="A941" s="2" t="s">
        <v>3127</v>
      </c>
      <c r="B941" s="2" t="s">
        <v>86</v>
      </c>
      <c r="C941" s="2" t="s">
        <v>3121</v>
      </c>
      <c r="D941" s="2" t="s">
        <v>2002</v>
      </c>
      <c r="E941" s="2" t="s">
        <v>3121</v>
      </c>
      <c r="F941" s="2" t="s">
        <v>3128</v>
      </c>
      <c r="G941" s="2" t="s">
        <v>98</v>
      </c>
      <c r="H941" s="2" t="s">
        <v>98</v>
      </c>
      <c r="I941" s="2" t="s">
        <v>98</v>
      </c>
      <c r="J941" s="2" t="s">
        <v>3129</v>
      </c>
      <c r="K941" s="2" t="s">
        <v>2693</v>
      </c>
      <c r="L941" s="3">
        <v>12.75</v>
      </c>
      <c r="M941" s="3"/>
      <c r="N941" s="3"/>
      <c r="O941" s="2" t="s">
        <v>95</v>
      </c>
      <c r="P941" s="2" t="s">
        <v>98</v>
      </c>
      <c r="Q941" s="2" t="s">
        <v>98</v>
      </c>
      <c r="R941" s="2" t="s">
        <v>3124</v>
      </c>
      <c r="S941" s="2" t="s">
        <v>98</v>
      </c>
      <c r="T941" s="2" t="s">
        <v>98</v>
      </c>
      <c r="U941" s="2" t="s">
        <v>98</v>
      </c>
      <c r="V941" s="2" t="s">
        <v>98</v>
      </c>
      <c r="W941" s="2" t="s">
        <v>98</v>
      </c>
      <c r="X941" s="2" t="s">
        <v>98</v>
      </c>
      <c r="Y941" s="2" t="s">
        <v>98</v>
      </c>
      <c r="Z941" s="4"/>
      <c r="AA941" s="4">
        <f>=ROUNDDOWN({0},0)</f>
      </c>
      <c r="AB941" s="5"/>
      <c r="AC941" s="2" t="s">
        <v>98</v>
      </c>
      <c r="AD941" s="4"/>
      <c r="AE941" s="4"/>
      <c r="AF941" s="6"/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98</v>
      </c>
      <c r="BV941" s="2" t="s">
        <v>98</v>
      </c>
      <c r="BW941" s="2" t="s">
        <v>98</v>
      </c>
      <c r="BX941" s="2" t="s">
        <v>98</v>
      </c>
      <c r="BY941" s="2" t="s">
        <v>98</v>
      </c>
    </row>
    <row r="942">
      <c r="A942" s="2" t="s">
        <v>3130</v>
      </c>
      <c r="B942" s="2" t="s">
        <v>86</v>
      </c>
      <c r="C942" s="2" t="s">
        <v>3121</v>
      </c>
      <c r="D942" s="2" t="s">
        <v>2002</v>
      </c>
      <c r="E942" s="2" t="s">
        <v>3121</v>
      </c>
      <c r="F942" s="2" t="s">
        <v>3131</v>
      </c>
      <c r="G942" s="2" t="s">
        <v>98</v>
      </c>
      <c r="H942" s="2" t="s">
        <v>98</v>
      </c>
      <c r="I942" s="2" t="s">
        <v>98</v>
      </c>
      <c r="J942" s="2" t="s">
        <v>3132</v>
      </c>
      <c r="K942" s="2" t="s">
        <v>2693</v>
      </c>
      <c r="L942" s="3">
        <v>11.6</v>
      </c>
      <c r="M942" s="3"/>
      <c r="N942" s="3"/>
      <c r="O942" s="2" t="s">
        <v>95</v>
      </c>
      <c r="P942" s="2" t="s">
        <v>98</v>
      </c>
      <c r="Q942" s="2" t="s">
        <v>98</v>
      </c>
      <c r="R942" s="2" t="s">
        <v>3124</v>
      </c>
      <c r="S942" s="2" t="s">
        <v>98</v>
      </c>
      <c r="T942" s="2" t="s">
        <v>98</v>
      </c>
      <c r="U942" s="2" t="s">
        <v>98</v>
      </c>
      <c r="V942" s="2" t="s">
        <v>98</v>
      </c>
      <c r="W942" s="2" t="s">
        <v>98</v>
      </c>
      <c r="X942" s="2" t="s">
        <v>98</v>
      </c>
      <c r="Y942" s="2" t="s">
        <v>98</v>
      </c>
      <c r="Z942" s="4"/>
      <c r="AA942" s="4">
        <f>=ROUNDDOWN({0},0)</f>
      </c>
      <c r="AB942" s="5"/>
      <c r="AC942" s="2" t="s">
        <v>98</v>
      </c>
      <c r="AD942" s="4"/>
      <c r="AE942" s="4"/>
      <c r="AF942" s="6"/>
      <c r="AG942" s="6"/>
      <c r="AH942" s="7">
        <v>0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/>
      <c r="BK942" s="8"/>
      <c r="BL942" s="2" t="s">
        <v>98</v>
      </c>
      <c r="BM942" s="7"/>
      <c r="BN942" s="7"/>
      <c r="BO942" s="4"/>
      <c r="BP942" s="8"/>
      <c r="BQ942" s="4"/>
      <c r="BR942" s="8"/>
      <c r="BS942" s="7"/>
      <c r="BT942" s="7"/>
      <c r="BU942" s="2" t="s">
        <v>98</v>
      </c>
      <c r="BV942" s="2" t="s">
        <v>98</v>
      </c>
      <c r="BW942" s="2" t="s">
        <v>98</v>
      </c>
      <c r="BX942" s="2" t="s">
        <v>98</v>
      </c>
      <c r="BY942" s="2" t="s">
        <v>98</v>
      </c>
    </row>
    <row r="943">
      <c r="A943" s="2" t="s">
        <v>3133</v>
      </c>
      <c r="B943" s="2" t="s">
        <v>86</v>
      </c>
      <c r="C943" s="2" t="s">
        <v>3134</v>
      </c>
      <c r="D943" s="2" t="s">
        <v>88</v>
      </c>
      <c r="E943" s="2" t="s">
        <v>3121</v>
      </c>
      <c r="F943" s="2" t="s">
        <v>3135</v>
      </c>
      <c r="G943" s="2" t="s">
        <v>98</v>
      </c>
      <c r="H943" s="2" t="s">
        <v>98</v>
      </c>
      <c r="I943" s="2" t="s">
        <v>98</v>
      </c>
      <c r="J943" s="2" t="s">
        <v>3136</v>
      </c>
      <c r="K943" s="2" t="s">
        <v>2693</v>
      </c>
      <c r="L943" s="3">
        <v>27.25</v>
      </c>
      <c r="M943" s="3"/>
      <c r="N943" s="3"/>
      <c r="O943" s="2" t="s">
        <v>241</v>
      </c>
      <c r="P943" s="2" t="s">
        <v>98</v>
      </c>
      <c r="Q943" s="2" t="s">
        <v>98</v>
      </c>
      <c r="R943" s="2" t="s">
        <v>3124</v>
      </c>
      <c r="S943" s="2" t="s">
        <v>98</v>
      </c>
      <c r="T943" s="2" t="s">
        <v>98</v>
      </c>
      <c r="U943" s="2" t="s">
        <v>98</v>
      </c>
      <c r="V943" s="2" t="s">
        <v>98</v>
      </c>
      <c r="W943" s="2" t="s">
        <v>98</v>
      </c>
      <c r="X943" s="2" t="s">
        <v>98</v>
      </c>
      <c r="Y943" s="2" t="s">
        <v>98</v>
      </c>
      <c r="Z943" s="4"/>
      <c r="AA943" s="4">
        <f>=ROUNDDOWN({0},0)</f>
      </c>
      <c r="AB943" s="5"/>
      <c r="AC943" s="2" t="s">
        <v>98</v>
      </c>
      <c r="AD943" s="4"/>
      <c r="AE943" s="4"/>
      <c r="AF943" s="6"/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98</v>
      </c>
      <c r="BV943" s="2" t="s">
        <v>98</v>
      </c>
      <c r="BW943" s="2" t="s">
        <v>98</v>
      </c>
      <c r="BX943" s="2" t="s">
        <v>98</v>
      </c>
      <c r="BY943" s="2" t="s">
        <v>98</v>
      </c>
    </row>
    <row r="944">
      <c r="A944" s="2" t="s">
        <v>3137</v>
      </c>
      <c r="B944" s="2" t="s">
        <v>86</v>
      </c>
      <c r="C944" s="2" t="s">
        <v>3134</v>
      </c>
      <c r="D944" s="2" t="s">
        <v>88</v>
      </c>
      <c r="E944" s="2" t="s">
        <v>3121</v>
      </c>
      <c r="F944" s="2" t="s">
        <v>3138</v>
      </c>
      <c r="G944" s="2" t="s">
        <v>98</v>
      </c>
      <c r="H944" s="2" t="s">
        <v>98</v>
      </c>
      <c r="I944" s="2" t="s">
        <v>98</v>
      </c>
      <c r="J944" s="2" t="s">
        <v>3136</v>
      </c>
      <c r="K944" s="2" t="s">
        <v>3139</v>
      </c>
      <c r="L944" s="3">
        <v>27.25</v>
      </c>
      <c r="M944" s="3"/>
      <c r="N944" s="3"/>
      <c r="O944" s="2" t="s">
        <v>241</v>
      </c>
      <c r="P944" s="2" t="s">
        <v>98</v>
      </c>
      <c r="Q944" s="2" t="s">
        <v>98</v>
      </c>
      <c r="R944" s="2" t="s">
        <v>3124</v>
      </c>
      <c r="S944" s="2" t="s">
        <v>98</v>
      </c>
      <c r="T944" s="2" t="s">
        <v>98</v>
      </c>
      <c r="U944" s="2" t="s">
        <v>98</v>
      </c>
      <c r="V944" s="2" t="s">
        <v>98</v>
      </c>
      <c r="W944" s="2" t="s">
        <v>98</v>
      </c>
      <c r="X944" s="2" t="s">
        <v>98</v>
      </c>
      <c r="Y944" s="2" t="s">
        <v>98</v>
      </c>
      <c r="Z944" s="4"/>
      <c r="AA944" s="4">
        <f>=ROUNDDOWN({0},0)</f>
      </c>
      <c r="AB944" s="5"/>
      <c r="AC944" s="2" t="s">
        <v>98</v>
      </c>
      <c r="AD944" s="4"/>
      <c r="AE944" s="4"/>
      <c r="AF944" s="6"/>
      <c r="AG944" s="6"/>
      <c r="AH944" s="7">
        <v>0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98</v>
      </c>
      <c r="BV944" s="2" t="s">
        <v>98</v>
      </c>
      <c r="BW944" s="2" t="s">
        <v>98</v>
      </c>
      <c r="BX944" s="2" t="s">
        <v>98</v>
      </c>
      <c r="BY944" s="2" t="s">
        <v>98</v>
      </c>
    </row>
    <row r="945">
      <c r="A945" s="2" t="s">
        <v>3140</v>
      </c>
      <c r="B945" s="2" t="s">
        <v>86</v>
      </c>
      <c r="C945" s="2" t="s">
        <v>3134</v>
      </c>
      <c r="D945" s="2" t="s">
        <v>88</v>
      </c>
      <c r="E945" s="2" t="s">
        <v>3121</v>
      </c>
      <c r="F945" s="2" t="s">
        <v>3141</v>
      </c>
      <c r="G945" s="2" t="s">
        <v>98</v>
      </c>
      <c r="H945" s="2" t="s">
        <v>98</v>
      </c>
      <c r="I945" s="2" t="s">
        <v>98</v>
      </c>
      <c r="J945" s="2" t="s">
        <v>3136</v>
      </c>
      <c r="K945" s="2" t="s">
        <v>2693</v>
      </c>
      <c r="L945" s="3">
        <v>27.25</v>
      </c>
      <c r="M945" s="3"/>
      <c r="N945" s="3"/>
      <c r="O945" s="2" t="s">
        <v>241</v>
      </c>
      <c r="P945" s="2" t="s">
        <v>98</v>
      </c>
      <c r="Q945" s="2" t="s">
        <v>98</v>
      </c>
      <c r="R945" s="2" t="s">
        <v>3124</v>
      </c>
      <c r="S945" s="2" t="s">
        <v>98</v>
      </c>
      <c r="T945" s="2" t="s">
        <v>98</v>
      </c>
      <c r="U945" s="2" t="s">
        <v>98</v>
      </c>
      <c r="V945" s="2" t="s">
        <v>98</v>
      </c>
      <c r="W945" s="2" t="s">
        <v>98</v>
      </c>
      <c r="X945" s="2" t="s">
        <v>98</v>
      </c>
      <c r="Y945" s="2" t="s">
        <v>98</v>
      </c>
      <c r="Z945" s="4"/>
      <c r="AA945" s="4">
        <f>=ROUNDDOWN({0},0)</f>
      </c>
      <c r="AB945" s="5"/>
      <c r="AC945" s="2" t="s">
        <v>98</v>
      </c>
      <c r="AD945" s="4"/>
      <c r="AE945" s="4"/>
      <c r="AF945" s="6"/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98</v>
      </c>
      <c r="BV945" s="2" t="s">
        <v>98</v>
      </c>
      <c r="BW945" s="2" t="s">
        <v>98</v>
      </c>
      <c r="BX945" s="2" t="s">
        <v>98</v>
      </c>
      <c r="BY945" s="2" t="s">
        <v>98</v>
      </c>
    </row>
    <row r="946">
      <c r="A946" s="2" t="s">
        <v>3142</v>
      </c>
      <c r="B946" s="2" t="s">
        <v>86</v>
      </c>
      <c r="C946" s="2" t="s">
        <v>3134</v>
      </c>
      <c r="D946" s="2" t="s">
        <v>88</v>
      </c>
      <c r="E946" s="2" t="s">
        <v>3121</v>
      </c>
      <c r="F946" s="2" t="s">
        <v>3143</v>
      </c>
      <c r="G946" s="2" t="s">
        <v>98</v>
      </c>
      <c r="H946" s="2" t="s">
        <v>98</v>
      </c>
      <c r="I946" s="2" t="s">
        <v>98</v>
      </c>
      <c r="J946" s="2" t="s">
        <v>3136</v>
      </c>
      <c r="K946" s="2" t="s">
        <v>464</v>
      </c>
      <c r="L946" s="3">
        <v>27.25</v>
      </c>
      <c r="M946" s="3"/>
      <c r="N946" s="3"/>
      <c r="O946" s="2" t="s">
        <v>241</v>
      </c>
      <c r="P946" s="2" t="s">
        <v>98</v>
      </c>
      <c r="Q946" s="2" t="s">
        <v>98</v>
      </c>
      <c r="R946" s="2" t="s">
        <v>3124</v>
      </c>
      <c r="S946" s="2" t="s">
        <v>98</v>
      </c>
      <c r="T946" s="2" t="s">
        <v>98</v>
      </c>
      <c r="U946" s="2" t="s">
        <v>98</v>
      </c>
      <c r="V946" s="2" t="s">
        <v>98</v>
      </c>
      <c r="W946" s="2" t="s">
        <v>98</v>
      </c>
      <c r="X946" s="2" t="s">
        <v>98</v>
      </c>
      <c r="Y946" s="2" t="s">
        <v>98</v>
      </c>
      <c r="Z946" s="4"/>
      <c r="AA946" s="4">
        <f>=ROUNDDOWN({0},0)</f>
      </c>
      <c r="AB946" s="5"/>
      <c r="AC946" s="2" t="s">
        <v>98</v>
      </c>
      <c r="AD946" s="4"/>
      <c r="AE946" s="4"/>
      <c r="AF946" s="6"/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98</v>
      </c>
      <c r="BV946" s="2" t="s">
        <v>98</v>
      </c>
      <c r="BW946" s="2" t="s">
        <v>98</v>
      </c>
      <c r="BX946" s="2" t="s">
        <v>98</v>
      </c>
      <c r="BY946" s="2" t="s">
        <v>98</v>
      </c>
    </row>
    <row r="947">
      <c r="A947" s="2" t="s">
        <v>3144</v>
      </c>
      <c r="B947" s="2" t="s">
        <v>86</v>
      </c>
      <c r="C947" s="2" t="s">
        <v>3134</v>
      </c>
      <c r="D947" s="2" t="s">
        <v>88</v>
      </c>
      <c r="E947" s="2" t="s">
        <v>3121</v>
      </c>
      <c r="F947" s="2" t="s">
        <v>3145</v>
      </c>
      <c r="G947" s="2" t="s">
        <v>98</v>
      </c>
      <c r="H947" s="2" t="s">
        <v>98</v>
      </c>
      <c r="I947" s="2" t="s">
        <v>98</v>
      </c>
      <c r="J947" s="2" t="s">
        <v>3136</v>
      </c>
      <c r="K947" s="2" t="s">
        <v>464</v>
      </c>
      <c r="L947" s="3">
        <v>27.25</v>
      </c>
      <c r="M947" s="3"/>
      <c r="N947" s="3"/>
      <c r="O947" s="2" t="s">
        <v>241</v>
      </c>
      <c r="P947" s="2" t="s">
        <v>98</v>
      </c>
      <c r="Q947" s="2" t="s">
        <v>98</v>
      </c>
      <c r="R947" s="2" t="s">
        <v>3124</v>
      </c>
      <c r="S947" s="2" t="s">
        <v>98</v>
      </c>
      <c r="T947" s="2" t="s">
        <v>98</v>
      </c>
      <c r="U947" s="2" t="s">
        <v>98</v>
      </c>
      <c r="V947" s="2" t="s">
        <v>98</v>
      </c>
      <c r="W947" s="2" t="s">
        <v>98</v>
      </c>
      <c r="X947" s="2" t="s">
        <v>98</v>
      </c>
      <c r="Y947" s="2" t="s">
        <v>98</v>
      </c>
      <c r="Z947" s="4"/>
      <c r="AA947" s="4">
        <f>=ROUNDDOWN({0},0)</f>
      </c>
      <c r="AB947" s="5"/>
      <c r="AC947" s="2" t="s">
        <v>98</v>
      </c>
      <c r="AD947" s="4"/>
      <c r="AE947" s="4"/>
      <c r="AF947" s="6"/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98</v>
      </c>
      <c r="BV947" s="2" t="s">
        <v>98</v>
      </c>
      <c r="BW947" s="2" t="s">
        <v>98</v>
      </c>
      <c r="BX947" s="2" t="s">
        <v>98</v>
      </c>
      <c r="BY947" s="2" t="s">
        <v>98</v>
      </c>
    </row>
    <row r="948">
      <c r="A948" s="2" t="s">
        <v>3146</v>
      </c>
      <c r="B948" s="2" t="s">
        <v>86</v>
      </c>
      <c r="C948" s="2" t="s">
        <v>3134</v>
      </c>
      <c r="D948" s="2" t="s">
        <v>88</v>
      </c>
      <c r="E948" s="2" t="s">
        <v>3121</v>
      </c>
      <c r="F948" s="2" t="s">
        <v>3147</v>
      </c>
      <c r="G948" s="2" t="s">
        <v>98</v>
      </c>
      <c r="H948" s="2" t="s">
        <v>98</v>
      </c>
      <c r="I948" s="2" t="s">
        <v>98</v>
      </c>
      <c r="J948" s="2" t="s">
        <v>3136</v>
      </c>
      <c r="K948" s="2" t="s">
        <v>2693</v>
      </c>
      <c r="L948" s="3">
        <v>27.25</v>
      </c>
      <c r="M948" s="3"/>
      <c r="N948" s="3"/>
      <c r="O948" s="2" t="s">
        <v>241</v>
      </c>
      <c r="P948" s="2" t="s">
        <v>98</v>
      </c>
      <c r="Q948" s="2" t="s">
        <v>98</v>
      </c>
      <c r="R948" s="2" t="s">
        <v>3124</v>
      </c>
      <c r="S948" s="2" t="s">
        <v>98</v>
      </c>
      <c r="T948" s="2" t="s">
        <v>98</v>
      </c>
      <c r="U948" s="2" t="s">
        <v>98</v>
      </c>
      <c r="V948" s="2" t="s">
        <v>98</v>
      </c>
      <c r="W948" s="2" t="s">
        <v>98</v>
      </c>
      <c r="X948" s="2" t="s">
        <v>98</v>
      </c>
      <c r="Y948" s="2" t="s">
        <v>98</v>
      </c>
      <c r="Z948" s="4"/>
      <c r="AA948" s="4">
        <f>=ROUNDDOWN({0},0)</f>
      </c>
      <c r="AB948" s="5"/>
      <c r="AC948" s="2" t="s">
        <v>98</v>
      </c>
      <c r="AD948" s="4"/>
      <c r="AE948" s="4"/>
      <c r="AF948" s="6"/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98</v>
      </c>
      <c r="BV948" s="2" t="s">
        <v>98</v>
      </c>
      <c r="BW948" s="2" t="s">
        <v>98</v>
      </c>
      <c r="BX948" s="2" t="s">
        <v>98</v>
      </c>
      <c r="BY948" s="2" t="s">
        <v>98</v>
      </c>
    </row>
    <row r="949">
      <c r="A949" s="16" t="s">
        <v>3148</v>
      </c>
      <c r="B949" s="9" t="s">
        <v>98</v>
      </c>
      <c r="C949" s="9" t="s">
        <v>98</v>
      </c>
      <c r="D949" s="9" t="s">
        <v>98</v>
      </c>
      <c r="E949" s="9" t="s">
        <v>98</v>
      </c>
      <c r="F949" s="9" t="s">
        <v>98</v>
      </c>
      <c r="G949" s="9" t="s">
        <v>98</v>
      </c>
      <c r="H949" s="9" t="s">
        <v>98</v>
      </c>
      <c r="I949" s="9" t="s">
        <v>98</v>
      </c>
      <c r="J949" s="9" t="s">
        <v>98</v>
      </c>
      <c r="K949" s="9" t="s">
        <v>98</v>
      </c>
      <c r="L949" s="10"/>
      <c r="M949" s="10"/>
      <c r="N949" s="10"/>
      <c r="O949" s="9" t="s">
        <v>98</v>
      </c>
      <c r="P949" s="9" t="s">
        <v>98</v>
      </c>
      <c r="Q949" s="9" t="s">
        <v>98</v>
      </c>
      <c r="R949" s="9" t="s">
        <v>98</v>
      </c>
      <c r="S949" s="9" t="s">
        <v>98</v>
      </c>
      <c r="T949" s="9" t="s">
        <v>98</v>
      </c>
      <c r="U949" s="9" t="s">
        <v>98</v>
      </c>
      <c r="V949" s="9" t="s">
        <v>98</v>
      </c>
      <c r="W949" s="9" t="s">
        <v>98</v>
      </c>
      <c r="X949" s="9" t="s">
        <v>98</v>
      </c>
      <c r="Y949" s="9" t="s">
        <v>98</v>
      </c>
      <c r="Z949" s="11">
        <v>193761</v>
      </c>
      <c r="AA949" s="11">
        <f>=ROUNDDOWN({0},0)</f>
      </c>
      <c r="AB949" s="12">
        <v>12864.6</v>
      </c>
      <c r="AC949" s="9" t="s">
        <v>98</v>
      </c>
      <c r="AD949" s="11"/>
      <c r="AE949" s="11">
        <v>259124</v>
      </c>
      <c r="AF949" s="13"/>
      <c r="AG949" s="13"/>
      <c r="AH949" s="14"/>
      <c r="AI949" s="11">
        <v>106</v>
      </c>
      <c r="AJ949" s="11">
        <f>=ROUNDDOWN({0},0)</f>
      </c>
      <c r="AK949" s="12">
        <v>53.2</v>
      </c>
      <c r="AL949" s="9" t="s">
        <v>98</v>
      </c>
      <c r="AM949" s="11"/>
      <c r="AN949" s="11"/>
      <c r="AO949" s="14"/>
      <c r="AP949" s="11">
        <v>10766</v>
      </c>
      <c r="AQ949" s="15">
        <v>199693.14</v>
      </c>
      <c r="AR949" s="11">
        <v>37865</v>
      </c>
      <c r="AS949" s="15">
        <v>553301.31</v>
      </c>
      <c r="AT949" s="14">
        <v>-0.7157</v>
      </c>
      <c r="AU949" s="14">
        <v>-0.6391</v>
      </c>
      <c r="AV949" s="11">
        <v>10766</v>
      </c>
      <c r="AW949" s="15">
        <v>199693.14</v>
      </c>
      <c r="AX949" s="11">
        <v>37865</v>
      </c>
      <c r="AY949" s="15">
        <v>553301.31</v>
      </c>
      <c r="AZ949" s="14">
        <v>-0.7157</v>
      </c>
      <c r="BA949" s="14">
        <v>-0.6391</v>
      </c>
      <c r="BB949" s="14"/>
      <c r="BC949" s="11">
        <v>10766</v>
      </c>
      <c r="BD949" s="15">
        <v>199693.14</v>
      </c>
      <c r="BE949" s="11">
        <v>37865</v>
      </c>
      <c r="BF949" s="15">
        <v>553301.31</v>
      </c>
      <c r="BG949" s="14">
        <v>-0.7157</v>
      </c>
      <c r="BH949" s="14">
        <v>-0.6391</v>
      </c>
      <c r="BI949" s="14"/>
      <c r="BJ949" s="11"/>
      <c r="BK949" s="15"/>
      <c r="BL949" s="9" t="s">
        <v>98</v>
      </c>
      <c r="BM949" s="14"/>
      <c r="BN949" s="14"/>
      <c r="BO949" s="11">
        <v>10766</v>
      </c>
      <c r="BP949" s="15">
        <v>199693.14</v>
      </c>
      <c r="BQ949" s="11">
        <v>37865</v>
      </c>
      <c r="BR949" s="15">
        <v>553301.31</v>
      </c>
      <c r="BS949" s="14">
        <v>-0.7157</v>
      </c>
      <c r="BT949" s="14">
        <v>-0.6391</v>
      </c>
      <c r="BU949" s="9" t="s">
        <v>98</v>
      </c>
      <c r="BV949" s="9" t="s">
        <v>98</v>
      </c>
      <c r="BW949" s="9" t="s">
        <v>98</v>
      </c>
      <c r="BX949" s="9" t="s">
        <v>98</v>
      </c>
      <c r="BY94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7"/>
    <mergeCell ref="BD6:BD67"/>
    <mergeCell ref="BE6:BE67"/>
    <mergeCell ref="BF6:BF67"/>
    <mergeCell ref="BG6:BG67"/>
    <mergeCell ref="BH6:BH67"/>
    <mergeCell ref="BC68:BC110"/>
    <mergeCell ref="BD68:BD110"/>
    <mergeCell ref="BE68:BE110"/>
    <mergeCell ref="BF68:BF110"/>
    <mergeCell ref="BG68:BG110"/>
    <mergeCell ref="BH68:BH110"/>
    <mergeCell ref="BC111:BC122"/>
    <mergeCell ref="BD111:BD122"/>
    <mergeCell ref="BE111:BE122"/>
    <mergeCell ref="BF111:BF122"/>
    <mergeCell ref="BG111:BG122"/>
    <mergeCell ref="BH111:BH122"/>
    <mergeCell ref="BC123:BC132"/>
    <mergeCell ref="BD123:BD132"/>
    <mergeCell ref="BE123:BE132"/>
    <mergeCell ref="BF123:BF132"/>
    <mergeCell ref="BG123:BG132"/>
    <mergeCell ref="BH123:BH132"/>
    <mergeCell ref="BC133:BC139"/>
    <mergeCell ref="BD133:BD139"/>
    <mergeCell ref="BE133:BE139"/>
    <mergeCell ref="BF133:BF139"/>
    <mergeCell ref="BG133:BG139"/>
    <mergeCell ref="BH133:BH139"/>
    <mergeCell ref="BC140:BC142"/>
    <mergeCell ref="BD140:BD142"/>
    <mergeCell ref="BE140:BE142"/>
    <mergeCell ref="BF140:BF142"/>
    <mergeCell ref="BG140:BG142"/>
    <mergeCell ref="BH140:BH142"/>
    <mergeCell ref="BC143:BC148"/>
    <mergeCell ref="BD143:BD148"/>
    <mergeCell ref="BE143:BE148"/>
    <mergeCell ref="BF143:BF148"/>
    <mergeCell ref="BG143:BG148"/>
    <mergeCell ref="BH143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74"/>
    <mergeCell ref="BD161:BD174"/>
    <mergeCell ref="BE161:BE174"/>
    <mergeCell ref="BF161:BF174"/>
    <mergeCell ref="BG161:BG174"/>
    <mergeCell ref="BH161:BH174"/>
    <mergeCell ref="BC175:BC177"/>
    <mergeCell ref="BD175:BD177"/>
    <mergeCell ref="BE175:BE177"/>
    <mergeCell ref="BF175:BF177"/>
    <mergeCell ref="BG175:BG177"/>
    <mergeCell ref="BH175:BH177"/>
    <mergeCell ref="BC178:BC180"/>
    <mergeCell ref="BD178:BD180"/>
    <mergeCell ref="BE178:BE180"/>
    <mergeCell ref="BF178:BF180"/>
    <mergeCell ref="BG178:BG180"/>
    <mergeCell ref="BH178:BH180"/>
    <mergeCell ref="BC181:BC186"/>
    <mergeCell ref="BD181:BD186"/>
    <mergeCell ref="BE181:BE186"/>
    <mergeCell ref="BF181:BF186"/>
    <mergeCell ref="BG181:BG186"/>
    <mergeCell ref="BH181:BH186"/>
    <mergeCell ref="BC187:BC188"/>
    <mergeCell ref="BD187:BD188"/>
    <mergeCell ref="BE187:BE188"/>
    <mergeCell ref="BF187:BF188"/>
    <mergeCell ref="BG187:BG188"/>
    <mergeCell ref="BH187:BH188"/>
    <mergeCell ref="BC189:BC191"/>
    <mergeCell ref="BD189:BD191"/>
    <mergeCell ref="BE189:BE191"/>
    <mergeCell ref="BF189:BF191"/>
    <mergeCell ref="BG189:BG191"/>
    <mergeCell ref="BH189:BH191"/>
    <mergeCell ref="BC192:BC195"/>
    <mergeCell ref="BD192:BD195"/>
    <mergeCell ref="BE192:BE195"/>
    <mergeCell ref="BF192:BF195"/>
    <mergeCell ref="BG192:BG195"/>
    <mergeCell ref="BH192:BH195"/>
    <mergeCell ref="BC196:BC205"/>
    <mergeCell ref="BD196:BD205"/>
    <mergeCell ref="BE196:BE205"/>
    <mergeCell ref="BF196:BF205"/>
    <mergeCell ref="BG196:BG205"/>
    <mergeCell ref="BH196:BH205"/>
    <mergeCell ref="BC206:BC265"/>
    <mergeCell ref="BD206:BD265"/>
    <mergeCell ref="BE206:BE265"/>
    <mergeCell ref="BF206:BF265"/>
    <mergeCell ref="BG206:BG265"/>
    <mergeCell ref="BH206:BH265"/>
    <mergeCell ref="BC266:BC280"/>
    <mergeCell ref="BD266:BD280"/>
    <mergeCell ref="BE266:BE280"/>
    <mergeCell ref="BF266:BF280"/>
    <mergeCell ref="BG266:BG280"/>
    <mergeCell ref="BH266:BH280"/>
    <mergeCell ref="BC281:BC286"/>
    <mergeCell ref="BD281:BD286"/>
    <mergeCell ref="BE281:BE286"/>
    <mergeCell ref="BF281:BF286"/>
    <mergeCell ref="BG281:BG286"/>
    <mergeCell ref="BH281:BH286"/>
    <mergeCell ref="BC287:BC311"/>
    <mergeCell ref="BD287:BD311"/>
    <mergeCell ref="BE287:BE311"/>
    <mergeCell ref="BF287:BF311"/>
    <mergeCell ref="BG287:BG311"/>
    <mergeCell ref="BH287:BH311"/>
    <mergeCell ref="BC312:BC326"/>
    <mergeCell ref="BD312:BD326"/>
    <mergeCell ref="BE312:BE326"/>
    <mergeCell ref="BF312:BF326"/>
    <mergeCell ref="BG312:BG326"/>
    <mergeCell ref="BH312:BH326"/>
    <mergeCell ref="BC327:BC332"/>
    <mergeCell ref="BD327:BD332"/>
    <mergeCell ref="BE327:BE332"/>
    <mergeCell ref="BF327:BF332"/>
    <mergeCell ref="BG327:BG332"/>
    <mergeCell ref="BH327:BH332"/>
    <mergeCell ref="BC333:BC340"/>
    <mergeCell ref="BD333:BD340"/>
    <mergeCell ref="BE333:BE340"/>
    <mergeCell ref="BF333:BF340"/>
    <mergeCell ref="BG333:BG340"/>
    <mergeCell ref="BH333:BH340"/>
    <mergeCell ref="BC341:BC348"/>
    <mergeCell ref="BD341:BD348"/>
    <mergeCell ref="BE341:BE348"/>
    <mergeCell ref="BF341:BF348"/>
    <mergeCell ref="BG341:BG348"/>
    <mergeCell ref="BH341:BH348"/>
    <mergeCell ref="BC349:BC354"/>
    <mergeCell ref="BD349:BD354"/>
    <mergeCell ref="BE349:BE354"/>
    <mergeCell ref="BF349:BF354"/>
    <mergeCell ref="BG349:BG354"/>
    <mergeCell ref="BH349:BH354"/>
    <mergeCell ref="BC355:BC369"/>
    <mergeCell ref="BD355:BD369"/>
    <mergeCell ref="BE355:BE369"/>
    <mergeCell ref="BF355:BF369"/>
    <mergeCell ref="BG355:BG369"/>
    <mergeCell ref="BH355:BH369"/>
    <mergeCell ref="BC370:BC381"/>
    <mergeCell ref="BD370:BD381"/>
    <mergeCell ref="BE370:BE381"/>
    <mergeCell ref="BF370:BF381"/>
    <mergeCell ref="BG370:BG381"/>
    <mergeCell ref="BH370:BH381"/>
    <mergeCell ref="BC382:BC391"/>
    <mergeCell ref="BD382:BD391"/>
    <mergeCell ref="BE382:BE391"/>
    <mergeCell ref="BF382:BF391"/>
    <mergeCell ref="BG382:BG391"/>
    <mergeCell ref="BH382:BH391"/>
    <mergeCell ref="BC392:BC393"/>
    <mergeCell ref="BD392:BD393"/>
    <mergeCell ref="BE392:BE393"/>
    <mergeCell ref="BF392:BF393"/>
    <mergeCell ref="BG392:BG393"/>
    <mergeCell ref="BH392:BH393"/>
    <mergeCell ref="BC394:BC396"/>
    <mergeCell ref="BD394:BD396"/>
    <mergeCell ref="BE394:BE396"/>
    <mergeCell ref="BF394:BF396"/>
    <mergeCell ref="BG394:BG396"/>
    <mergeCell ref="BH394:BH396"/>
    <mergeCell ref="BC398:BC406"/>
    <mergeCell ref="BD398:BD406"/>
    <mergeCell ref="BE398:BE406"/>
    <mergeCell ref="BF398:BF406"/>
    <mergeCell ref="BG398:BG406"/>
    <mergeCell ref="BH398:BH406"/>
    <mergeCell ref="BC407:BC415"/>
    <mergeCell ref="BD407:BD415"/>
    <mergeCell ref="BE407:BE415"/>
    <mergeCell ref="BF407:BF415"/>
    <mergeCell ref="BG407:BG415"/>
    <mergeCell ref="BH407:BH415"/>
    <mergeCell ref="BC416:BC435"/>
    <mergeCell ref="BD416:BD435"/>
    <mergeCell ref="BE416:BE435"/>
    <mergeCell ref="BF416:BF435"/>
    <mergeCell ref="BG416:BG435"/>
    <mergeCell ref="BH416:BH435"/>
    <mergeCell ref="BC436:BC438"/>
    <mergeCell ref="BD436:BD438"/>
    <mergeCell ref="BE436:BE438"/>
    <mergeCell ref="BF436:BF438"/>
    <mergeCell ref="BG436:BG438"/>
    <mergeCell ref="BH436:BH438"/>
    <mergeCell ref="BC439:BC444"/>
    <mergeCell ref="BD439:BD444"/>
    <mergeCell ref="BE439:BE444"/>
    <mergeCell ref="BF439:BF444"/>
    <mergeCell ref="BG439:BG444"/>
    <mergeCell ref="BH439:BH444"/>
    <mergeCell ref="BC445:BC456"/>
    <mergeCell ref="BD445:BD456"/>
    <mergeCell ref="BE445:BE456"/>
    <mergeCell ref="BF445:BF456"/>
    <mergeCell ref="BG445:BG456"/>
    <mergeCell ref="BH445:BH456"/>
    <mergeCell ref="BC457:BC461"/>
    <mergeCell ref="BD457:BD461"/>
    <mergeCell ref="BE457:BE461"/>
    <mergeCell ref="BF457:BF461"/>
    <mergeCell ref="BG457:BG461"/>
    <mergeCell ref="BH457:BH461"/>
    <mergeCell ref="BC462:BC464"/>
    <mergeCell ref="BD462:BD464"/>
    <mergeCell ref="BE462:BE464"/>
    <mergeCell ref="BF462:BF464"/>
    <mergeCell ref="BG462:BG464"/>
    <mergeCell ref="BH462:BH464"/>
    <mergeCell ref="BC465:BC466"/>
    <mergeCell ref="BD465:BD466"/>
    <mergeCell ref="BE465:BE466"/>
    <mergeCell ref="BF465:BF466"/>
    <mergeCell ref="BG465:BG466"/>
    <mergeCell ref="BH465:BH466"/>
    <mergeCell ref="BC467:BC470"/>
    <mergeCell ref="BD467:BD470"/>
    <mergeCell ref="BE467:BE470"/>
    <mergeCell ref="BF467:BF470"/>
    <mergeCell ref="BG467:BG470"/>
    <mergeCell ref="BH467:BH470"/>
    <mergeCell ref="BC473:BC484"/>
    <mergeCell ref="BD473:BD484"/>
    <mergeCell ref="BE473:BE484"/>
    <mergeCell ref="BF473:BF484"/>
    <mergeCell ref="BG473:BG484"/>
    <mergeCell ref="BH473:BH484"/>
    <mergeCell ref="BC485:BC492"/>
    <mergeCell ref="BD485:BD492"/>
    <mergeCell ref="BE485:BE492"/>
    <mergeCell ref="BF485:BF492"/>
    <mergeCell ref="BG485:BG492"/>
    <mergeCell ref="BH485:BH492"/>
    <mergeCell ref="BC493:BC500"/>
    <mergeCell ref="BD493:BD500"/>
    <mergeCell ref="BE493:BE500"/>
    <mergeCell ref="BF493:BF500"/>
    <mergeCell ref="BG493:BG500"/>
    <mergeCell ref="BH493:BH500"/>
    <mergeCell ref="BC501:BC507"/>
    <mergeCell ref="BD501:BD507"/>
    <mergeCell ref="BE501:BE507"/>
    <mergeCell ref="BF501:BF507"/>
    <mergeCell ref="BG501:BG507"/>
    <mergeCell ref="BH501:BH507"/>
    <mergeCell ref="BC509:BC512"/>
    <mergeCell ref="BD509:BD512"/>
    <mergeCell ref="BE509:BE512"/>
    <mergeCell ref="BF509:BF512"/>
    <mergeCell ref="BG509:BG512"/>
    <mergeCell ref="BH509:BH512"/>
    <mergeCell ref="BC513:BC520"/>
    <mergeCell ref="BD513:BD520"/>
    <mergeCell ref="BE513:BE520"/>
    <mergeCell ref="BF513:BF520"/>
    <mergeCell ref="BG513:BG520"/>
    <mergeCell ref="BH513:BH520"/>
    <mergeCell ref="BC521:BC526"/>
    <mergeCell ref="BD521:BD526"/>
    <mergeCell ref="BE521:BE526"/>
    <mergeCell ref="BF521:BF526"/>
    <mergeCell ref="BG521:BG526"/>
    <mergeCell ref="BH521:BH526"/>
    <mergeCell ref="BC527:BC534"/>
    <mergeCell ref="BD527:BD534"/>
    <mergeCell ref="BE527:BE534"/>
    <mergeCell ref="BF527:BF534"/>
    <mergeCell ref="BG527:BG534"/>
    <mergeCell ref="BH527:BH534"/>
    <mergeCell ref="BC535:BC546"/>
    <mergeCell ref="BD535:BD546"/>
    <mergeCell ref="BE535:BE546"/>
    <mergeCell ref="BF535:BF546"/>
    <mergeCell ref="BG535:BG546"/>
    <mergeCell ref="BH535:BH546"/>
    <mergeCell ref="BC547:BC553"/>
    <mergeCell ref="BD547:BD553"/>
    <mergeCell ref="BE547:BE553"/>
    <mergeCell ref="BF547:BF553"/>
    <mergeCell ref="BG547:BG553"/>
    <mergeCell ref="BH547:BH553"/>
    <mergeCell ref="BC554:BC562"/>
    <mergeCell ref="BD554:BD562"/>
    <mergeCell ref="BE554:BE562"/>
    <mergeCell ref="BF554:BF562"/>
    <mergeCell ref="BG554:BG562"/>
    <mergeCell ref="BH554:BH562"/>
    <mergeCell ref="BC563:BC573"/>
    <mergeCell ref="BD563:BD573"/>
    <mergeCell ref="BE563:BE573"/>
    <mergeCell ref="BF563:BF573"/>
    <mergeCell ref="BG563:BG573"/>
    <mergeCell ref="BH563:BH573"/>
    <mergeCell ref="BC574:BC578"/>
    <mergeCell ref="BD574:BD578"/>
    <mergeCell ref="BE574:BE578"/>
    <mergeCell ref="BF574:BF578"/>
    <mergeCell ref="BG574:BG578"/>
    <mergeCell ref="BH574:BH578"/>
    <mergeCell ref="BC583:BC584"/>
    <mergeCell ref="BD583:BD584"/>
    <mergeCell ref="BE583:BE584"/>
    <mergeCell ref="BF583:BF584"/>
    <mergeCell ref="BG583:BG584"/>
    <mergeCell ref="BH583:BH584"/>
    <mergeCell ref="BC585:BC587"/>
    <mergeCell ref="BD585:BD587"/>
    <mergeCell ref="BE585:BE587"/>
    <mergeCell ref="BF585:BF587"/>
    <mergeCell ref="BG585:BG587"/>
    <mergeCell ref="BH585:BH587"/>
    <mergeCell ref="BC588:BC589"/>
    <mergeCell ref="BD588:BD589"/>
    <mergeCell ref="BE588:BE589"/>
    <mergeCell ref="BF588:BF589"/>
    <mergeCell ref="BG588:BG589"/>
    <mergeCell ref="BH588:BH589"/>
    <mergeCell ref="BC590:BC591"/>
    <mergeCell ref="BD590:BD591"/>
    <mergeCell ref="BE590:BE591"/>
    <mergeCell ref="BF590:BF591"/>
    <mergeCell ref="BG590:BG591"/>
    <mergeCell ref="BH590:BH591"/>
    <mergeCell ref="BC592:BC593"/>
    <mergeCell ref="BD592:BD593"/>
    <mergeCell ref="BE592:BE593"/>
    <mergeCell ref="BF592:BF593"/>
    <mergeCell ref="BG592:BG593"/>
    <mergeCell ref="BH592:BH593"/>
    <mergeCell ref="BC597:BC598"/>
    <mergeCell ref="BD597:BD598"/>
    <mergeCell ref="BE597:BE598"/>
    <mergeCell ref="BF597:BF598"/>
    <mergeCell ref="BG597:BG598"/>
    <mergeCell ref="BH597:BH598"/>
    <mergeCell ref="BC600:BC601"/>
    <mergeCell ref="BD600:BD601"/>
    <mergeCell ref="BE600:BE601"/>
    <mergeCell ref="BF600:BF601"/>
    <mergeCell ref="BG600:BG601"/>
    <mergeCell ref="BH600:BH601"/>
    <mergeCell ref="BC603:BC606"/>
    <mergeCell ref="BD603:BD606"/>
    <mergeCell ref="BE603:BE606"/>
    <mergeCell ref="BF603:BF606"/>
    <mergeCell ref="BG603:BG606"/>
    <mergeCell ref="BH603:BH606"/>
    <mergeCell ref="BC608:BC617"/>
    <mergeCell ref="BD608:BD617"/>
    <mergeCell ref="BE608:BE617"/>
    <mergeCell ref="BF608:BF617"/>
    <mergeCell ref="BG608:BG617"/>
    <mergeCell ref="BH608:BH617"/>
    <mergeCell ref="BC619:BC624"/>
    <mergeCell ref="BD619:BD624"/>
    <mergeCell ref="BE619:BE624"/>
    <mergeCell ref="BF619:BF624"/>
    <mergeCell ref="BG619:BG624"/>
    <mergeCell ref="BH619:BH624"/>
    <mergeCell ref="BC626:BC637"/>
    <mergeCell ref="BD626:BD637"/>
    <mergeCell ref="BE626:BE637"/>
    <mergeCell ref="BF626:BF637"/>
    <mergeCell ref="BG626:BG637"/>
    <mergeCell ref="BH626:BH637"/>
    <mergeCell ref="BC638:BC653"/>
    <mergeCell ref="BD638:BD653"/>
    <mergeCell ref="BE638:BE653"/>
    <mergeCell ref="BF638:BF653"/>
    <mergeCell ref="BG638:BG653"/>
    <mergeCell ref="BH638:BH653"/>
    <mergeCell ref="BC654:BC668"/>
    <mergeCell ref="BD654:BD668"/>
    <mergeCell ref="BE654:BE668"/>
    <mergeCell ref="BF654:BF668"/>
    <mergeCell ref="BG654:BG668"/>
    <mergeCell ref="BH654:BH668"/>
    <mergeCell ref="BC669:BC688"/>
    <mergeCell ref="BD669:BD688"/>
    <mergeCell ref="BE669:BE688"/>
    <mergeCell ref="BF669:BF688"/>
    <mergeCell ref="BG669:BG688"/>
    <mergeCell ref="BH669:BH688"/>
    <mergeCell ref="BC689:BC700"/>
    <mergeCell ref="BD689:BD700"/>
    <mergeCell ref="BE689:BE700"/>
    <mergeCell ref="BF689:BF700"/>
    <mergeCell ref="BG689:BG700"/>
    <mergeCell ref="BH689:BH700"/>
    <mergeCell ref="BC701:BC708"/>
    <mergeCell ref="BD701:BD708"/>
    <mergeCell ref="BE701:BE708"/>
    <mergeCell ref="BF701:BF708"/>
    <mergeCell ref="BG701:BG708"/>
    <mergeCell ref="BH701:BH708"/>
    <mergeCell ref="BC709:BC714"/>
    <mergeCell ref="BD709:BD714"/>
    <mergeCell ref="BE709:BE714"/>
    <mergeCell ref="BF709:BF714"/>
    <mergeCell ref="BG709:BG714"/>
    <mergeCell ref="BH709:BH714"/>
    <mergeCell ref="BC715:BC718"/>
    <mergeCell ref="BD715:BD718"/>
    <mergeCell ref="BE715:BE718"/>
    <mergeCell ref="BF715:BF718"/>
    <mergeCell ref="BG715:BG718"/>
    <mergeCell ref="BH715:BH718"/>
    <mergeCell ref="BC719:BC724"/>
    <mergeCell ref="BD719:BD724"/>
    <mergeCell ref="BE719:BE724"/>
    <mergeCell ref="BF719:BF724"/>
    <mergeCell ref="BG719:BG724"/>
    <mergeCell ref="BH719:BH724"/>
    <mergeCell ref="BC725:BC729"/>
    <mergeCell ref="BD725:BD729"/>
    <mergeCell ref="BE725:BE729"/>
    <mergeCell ref="BF725:BF729"/>
    <mergeCell ref="BG725:BG729"/>
    <mergeCell ref="BH725:BH729"/>
    <mergeCell ref="BC730:BC733"/>
    <mergeCell ref="BD730:BD733"/>
    <mergeCell ref="BE730:BE733"/>
    <mergeCell ref="BF730:BF733"/>
    <mergeCell ref="BG730:BG733"/>
    <mergeCell ref="BH730:BH733"/>
    <mergeCell ref="BC734:BC740"/>
    <mergeCell ref="BD734:BD740"/>
    <mergeCell ref="BE734:BE740"/>
    <mergeCell ref="BF734:BF740"/>
    <mergeCell ref="BG734:BG740"/>
    <mergeCell ref="BH734:BH740"/>
    <mergeCell ref="BC741:BC742"/>
    <mergeCell ref="BD741:BD742"/>
    <mergeCell ref="BE741:BE742"/>
    <mergeCell ref="BF741:BF742"/>
    <mergeCell ref="BG741:BG742"/>
    <mergeCell ref="BH741:BH742"/>
    <mergeCell ref="BC743:BC747"/>
    <mergeCell ref="BD743:BD747"/>
    <mergeCell ref="BE743:BE747"/>
    <mergeCell ref="BF743:BF747"/>
    <mergeCell ref="BG743:BG747"/>
    <mergeCell ref="BH743:BH747"/>
    <mergeCell ref="BC748:BC750"/>
    <mergeCell ref="BD748:BD750"/>
    <mergeCell ref="BE748:BE750"/>
    <mergeCell ref="BF748:BF750"/>
    <mergeCell ref="BG748:BG750"/>
    <mergeCell ref="BH748:BH750"/>
    <mergeCell ref="BC751:BC754"/>
    <mergeCell ref="BD751:BD754"/>
    <mergeCell ref="BE751:BE754"/>
    <mergeCell ref="BF751:BF754"/>
    <mergeCell ref="BG751:BG754"/>
    <mergeCell ref="BH751:BH754"/>
    <mergeCell ref="BC755:BC767"/>
    <mergeCell ref="BD755:BD767"/>
    <mergeCell ref="BE755:BE767"/>
    <mergeCell ref="BF755:BF767"/>
    <mergeCell ref="BG755:BG767"/>
    <mergeCell ref="BH755:BH767"/>
    <mergeCell ref="BC768:BC779"/>
    <mergeCell ref="BD768:BD779"/>
    <mergeCell ref="BE768:BE779"/>
    <mergeCell ref="BF768:BF779"/>
    <mergeCell ref="BG768:BG779"/>
    <mergeCell ref="BH768:BH779"/>
    <mergeCell ref="BC781:BC783"/>
    <mergeCell ref="BD781:BD783"/>
    <mergeCell ref="BE781:BE783"/>
    <mergeCell ref="BF781:BF783"/>
    <mergeCell ref="BG781:BG783"/>
    <mergeCell ref="BH781:BH783"/>
    <mergeCell ref="BC784:BC795"/>
    <mergeCell ref="BD784:BD795"/>
    <mergeCell ref="BE784:BE795"/>
    <mergeCell ref="BF784:BF795"/>
    <mergeCell ref="BG784:BG795"/>
    <mergeCell ref="BH784:BH795"/>
    <mergeCell ref="BC796:BC803"/>
    <mergeCell ref="BD796:BD803"/>
    <mergeCell ref="BE796:BE803"/>
    <mergeCell ref="BF796:BF803"/>
    <mergeCell ref="BG796:BG803"/>
    <mergeCell ref="BH796:BH803"/>
    <mergeCell ref="BC805:BC806"/>
    <mergeCell ref="BD805:BD806"/>
    <mergeCell ref="BE805:BE806"/>
    <mergeCell ref="BF805:BF806"/>
    <mergeCell ref="BG805:BG806"/>
    <mergeCell ref="BH805:BH806"/>
    <mergeCell ref="BC807:BC808"/>
    <mergeCell ref="BD807:BD808"/>
    <mergeCell ref="BE807:BE808"/>
    <mergeCell ref="BF807:BF808"/>
    <mergeCell ref="BG807:BG808"/>
    <mergeCell ref="BH807:BH808"/>
    <mergeCell ref="BC809:BC810"/>
    <mergeCell ref="BD809:BD810"/>
    <mergeCell ref="BE809:BE810"/>
    <mergeCell ref="BF809:BF810"/>
    <mergeCell ref="BG809:BG810"/>
    <mergeCell ref="BH809:BH810"/>
    <mergeCell ref="BC811:BC812"/>
    <mergeCell ref="BD811:BD812"/>
    <mergeCell ref="BE811:BE812"/>
    <mergeCell ref="BF811:BF812"/>
    <mergeCell ref="BG811:BG812"/>
    <mergeCell ref="BH811:BH812"/>
    <mergeCell ref="BC813:BC814"/>
    <mergeCell ref="BD813:BD814"/>
    <mergeCell ref="BE813:BE814"/>
    <mergeCell ref="BF813:BF814"/>
    <mergeCell ref="BG813:BG814"/>
    <mergeCell ref="BH813:BH814"/>
    <mergeCell ref="BC815:BC816"/>
    <mergeCell ref="BD815:BD816"/>
    <mergeCell ref="BE815:BE816"/>
    <mergeCell ref="BF815:BF816"/>
    <mergeCell ref="BG815:BG816"/>
    <mergeCell ref="BH815:BH816"/>
    <mergeCell ref="BC817:BC819"/>
    <mergeCell ref="BD817:BD819"/>
    <mergeCell ref="BE817:BE819"/>
    <mergeCell ref="BF817:BF819"/>
    <mergeCell ref="BG817:BG819"/>
    <mergeCell ref="BH817:BH819"/>
    <mergeCell ref="BC820:BC823"/>
    <mergeCell ref="BD820:BD823"/>
    <mergeCell ref="BE820:BE823"/>
    <mergeCell ref="BF820:BF823"/>
    <mergeCell ref="BG820:BG823"/>
    <mergeCell ref="BH820:BH823"/>
    <mergeCell ref="BC824:BC825"/>
    <mergeCell ref="BD824:BD825"/>
    <mergeCell ref="BE824:BE825"/>
    <mergeCell ref="BF824:BF825"/>
    <mergeCell ref="BG824:BG825"/>
    <mergeCell ref="BH824:BH825"/>
    <mergeCell ref="BC826:BC832"/>
    <mergeCell ref="BD826:BD832"/>
    <mergeCell ref="BE826:BE832"/>
    <mergeCell ref="BF826:BF832"/>
    <mergeCell ref="BG826:BG832"/>
    <mergeCell ref="BH826:BH832"/>
    <mergeCell ref="BC833:BC836"/>
    <mergeCell ref="BD833:BD836"/>
    <mergeCell ref="BE833:BE836"/>
    <mergeCell ref="BF833:BF836"/>
    <mergeCell ref="BG833:BG836"/>
    <mergeCell ref="BH833:BH836"/>
    <mergeCell ref="BC837:BC840"/>
    <mergeCell ref="BD837:BD840"/>
    <mergeCell ref="BE837:BE840"/>
    <mergeCell ref="BF837:BF840"/>
    <mergeCell ref="BG837:BG840"/>
    <mergeCell ref="BH837:BH840"/>
    <mergeCell ref="BC841:BC847"/>
    <mergeCell ref="BD841:BD847"/>
    <mergeCell ref="BE841:BE847"/>
    <mergeCell ref="BF841:BF847"/>
    <mergeCell ref="BG841:BG847"/>
    <mergeCell ref="BH841:BH847"/>
    <mergeCell ref="BC848:BC850"/>
    <mergeCell ref="BD848:BD850"/>
    <mergeCell ref="BE848:BE850"/>
    <mergeCell ref="BF848:BF850"/>
    <mergeCell ref="BG848:BG850"/>
    <mergeCell ref="BH848:BH850"/>
    <mergeCell ref="BC852:BC856"/>
    <mergeCell ref="BD852:BD856"/>
    <mergeCell ref="BE852:BE856"/>
    <mergeCell ref="BF852:BF856"/>
    <mergeCell ref="BG852:BG856"/>
    <mergeCell ref="BH852:BH856"/>
    <mergeCell ref="BC857:BC858"/>
    <mergeCell ref="BD857:BD858"/>
    <mergeCell ref="BE857:BE858"/>
    <mergeCell ref="BF857:BF858"/>
    <mergeCell ref="BG857:BG858"/>
    <mergeCell ref="BH857:BH858"/>
    <mergeCell ref="BC859:BC861"/>
    <mergeCell ref="BD859:BD861"/>
    <mergeCell ref="BE859:BE861"/>
    <mergeCell ref="BF859:BF861"/>
    <mergeCell ref="BG859:BG861"/>
    <mergeCell ref="BH859:BH861"/>
    <mergeCell ref="BC862:BC864"/>
    <mergeCell ref="BD862:BD864"/>
    <mergeCell ref="BE862:BE864"/>
    <mergeCell ref="BF862:BF864"/>
    <mergeCell ref="BG862:BG864"/>
    <mergeCell ref="BH862:BH864"/>
    <mergeCell ref="BC865:BC866"/>
    <mergeCell ref="BD865:BD866"/>
    <mergeCell ref="BE865:BE866"/>
    <mergeCell ref="BF865:BF866"/>
    <mergeCell ref="BG865:BG866"/>
    <mergeCell ref="BH865:BH866"/>
    <mergeCell ref="BC867:BC884"/>
    <mergeCell ref="BD867:BD884"/>
    <mergeCell ref="BE867:BE884"/>
    <mergeCell ref="BF867:BF884"/>
    <mergeCell ref="BG867:BG884"/>
    <mergeCell ref="BH867:BH884"/>
    <mergeCell ref="BC885:BC886"/>
    <mergeCell ref="BD885:BD886"/>
    <mergeCell ref="BE885:BE886"/>
    <mergeCell ref="BF885:BF886"/>
    <mergeCell ref="BG885:BG886"/>
    <mergeCell ref="BH885:BH886"/>
    <mergeCell ref="BC887:BC888"/>
    <mergeCell ref="BD887:BD888"/>
    <mergeCell ref="BE887:BE888"/>
    <mergeCell ref="BF887:BF888"/>
    <mergeCell ref="BG887:BG888"/>
    <mergeCell ref="BH887:BH888"/>
    <mergeCell ref="BC889:BC903"/>
    <mergeCell ref="BD889:BD903"/>
    <mergeCell ref="BE889:BE903"/>
    <mergeCell ref="BF889:BF903"/>
    <mergeCell ref="BG889:BG903"/>
    <mergeCell ref="BH889:BH903"/>
    <mergeCell ref="BC904:BC907"/>
    <mergeCell ref="BD904:BD907"/>
    <mergeCell ref="BE904:BE907"/>
    <mergeCell ref="BF904:BF907"/>
    <mergeCell ref="BG904:BG907"/>
    <mergeCell ref="BH904:BH907"/>
    <mergeCell ref="BC908:BC910"/>
    <mergeCell ref="BD908:BD910"/>
    <mergeCell ref="BE908:BE910"/>
    <mergeCell ref="BF908:BF910"/>
    <mergeCell ref="BG908:BG910"/>
    <mergeCell ref="BH908:BH910"/>
    <mergeCell ref="BC911:BC912"/>
    <mergeCell ref="BD911:BD912"/>
    <mergeCell ref="BE911:BE912"/>
    <mergeCell ref="BF911:BF912"/>
    <mergeCell ref="BG911:BG912"/>
    <mergeCell ref="BH911:BH912"/>
    <mergeCell ref="BC913:BC914"/>
    <mergeCell ref="BD913:BD914"/>
    <mergeCell ref="BE913:BE914"/>
    <mergeCell ref="BF913:BF914"/>
    <mergeCell ref="BG913:BG914"/>
    <mergeCell ref="BH913:BH914"/>
    <mergeCell ref="BC915:BC926"/>
    <mergeCell ref="BD915:BD926"/>
    <mergeCell ref="BE915:BE926"/>
    <mergeCell ref="BF915:BF926"/>
    <mergeCell ref="BG915:BG926"/>
    <mergeCell ref="BH915:BH926"/>
    <mergeCell ref="BC927:BC930"/>
    <mergeCell ref="BD927:BD930"/>
    <mergeCell ref="BE927:BE930"/>
    <mergeCell ref="BF927:BF930"/>
    <mergeCell ref="BG927:BG930"/>
    <mergeCell ref="BH927:BH930"/>
    <mergeCell ref="BC931:BC934"/>
    <mergeCell ref="BD931:BD934"/>
    <mergeCell ref="BE931:BE934"/>
    <mergeCell ref="BF931:BF934"/>
    <mergeCell ref="BG931:BG934"/>
    <mergeCell ref="BH931:BH934"/>
    <mergeCell ref="BC935:BC938"/>
    <mergeCell ref="BD935:BD938"/>
    <mergeCell ref="BE935:BE938"/>
    <mergeCell ref="BF935:BF938"/>
    <mergeCell ref="BG935:BG938"/>
    <mergeCell ref="BH935:BH938"/>
    <mergeCell ref="AV6:AV10"/>
    <mergeCell ref="AW6:AW10"/>
    <mergeCell ref="AX6:AX10"/>
    <mergeCell ref="AY6:AY10"/>
    <mergeCell ref="AZ6:AZ10"/>
    <mergeCell ref="BA6:BA10"/>
    <mergeCell ref="BI6:BI10"/>
    <mergeCell ref="AV11:AV16"/>
    <mergeCell ref="AW11:AW16"/>
    <mergeCell ref="AX11:AX16"/>
    <mergeCell ref="AY11:AY16"/>
    <mergeCell ref="AZ11:AZ16"/>
    <mergeCell ref="BA11:BA16"/>
    <mergeCell ref="BI11:BI16"/>
    <mergeCell ref="AV17:AV22"/>
    <mergeCell ref="AW17:AW22"/>
    <mergeCell ref="AX17:AX22"/>
    <mergeCell ref="AY17:AY22"/>
    <mergeCell ref="AZ17:AZ22"/>
    <mergeCell ref="BA17:BA22"/>
    <mergeCell ref="BI17:BI22"/>
    <mergeCell ref="AV23:AV28"/>
    <mergeCell ref="AW23:AW28"/>
    <mergeCell ref="AX23:AX28"/>
    <mergeCell ref="AY23:AY28"/>
    <mergeCell ref="AZ23:AZ28"/>
    <mergeCell ref="BA23:BA28"/>
    <mergeCell ref="BI23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8"/>
    <mergeCell ref="AW45:AW48"/>
    <mergeCell ref="AX45:AX48"/>
    <mergeCell ref="AY45:AY48"/>
    <mergeCell ref="AZ45:AZ48"/>
    <mergeCell ref="BA45:BA48"/>
    <mergeCell ref="BI45:BI48"/>
    <mergeCell ref="AV49:AV52"/>
    <mergeCell ref="AW49:AW52"/>
    <mergeCell ref="AX49:AX52"/>
    <mergeCell ref="AY49:AY52"/>
    <mergeCell ref="AZ49:AZ52"/>
    <mergeCell ref="BA49:BA52"/>
    <mergeCell ref="BI49:BI52"/>
    <mergeCell ref="AV53:AV55"/>
    <mergeCell ref="AW53:AW55"/>
    <mergeCell ref="AX53:AX55"/>
    <mergeCell ref="AY53:AY55"/>
    <mergeCell ref="AZ53:AZ55"/>
    <mergeCell ref="BA53:BA55"/>
    <mergeCell ref="BI53:BI55"/>
    <mergeCell ref="AV56:AV59"/>
    <mergeCell ref="AW56:AW59"/>
    <mergeCell ref="AX56:AX59"/>
    <mergeCell ref="AY56:AY59"/>
    <mergeCell ref="AZ56:AZ59"/>
    <mergeCell ref="BA56:BA59"/>
    <mergeCell ref="BI56:BI59"/>
    <mergeCell ref="AV60:AV65"/>
    <mergeCell ref="AW60:AW65"/>
    <mergeCell ref="AX60:AX65"/>
    <mergeCell ref="AY60:AY65"/>
    <mergeCell ref="AZ60:AZ65"/>
    <mergeCell ref="BA60:BA65"/>
    <mergeCell ref="BI60:BI65"/>
    <mergeCell ref="AV66:AV67"/>
    <mergeCell ref="AW66:AW67"/>
    <mergeCell ref="AX66:AX67"/>
    <mergeCell ref="AY66:AY67"/>
    <mergeCell ref="AZ66:AZ67"/>
    <mergeCell ref="BA66:BA67"/>
    <mergeCell ref="BI66:BI67"/>
    <mergeCell ref="AV68:AV71"/>
    <mergeCell ref="AW68:AW71"/>
    <mergeCell ref="AX68:AX71"/>
    <mergeCell ref="AY68:AY71"/>
    <mergeCell ref="AZ68:AZ71"/>
    <mergeCell ref="BA68:BA71"/>
    <mergeCell ref="BI68:BI71"/>
    <mergeCell ref="AV72:AV76"/>
    <mergeCell ref="AW72:AW76"/>
    <mergeCell ref="AX72:AX76"/>
    <mergeCell ref="AY72:AY76"/>
    <mergeCell ref="AZ72:AZ76"/>
    <mergeCell ref="BA72:BA76"/>
    <mergeCell ref="BI72:BI76"/>
    <mergeCell ref="AV77:AV81"/>
    <mergeCell ref="AW77:AW81"/>
    <mergeCell ref="AX77:AX81"/>
    <mergeCell ref="AY77:AY81"/>
    <mergeCell ref="AZ77:AZ81"/>
    <mergeCell ref="BA77:BA81"/>
    <mergeCell ref="BI77:BI81"/>
    <mergeCell ref="AV82:AV85"/>
    <mergeCell ref="AW82:AW85"/>
    <mergeCell ref="AX82:AX85"/>
    <mergeCell ref="AY82:AY85"/>
    <mergeCell ref="AZ82:AZ85"/>
    <mergeCell ref="BA82:BA85"/>
    <mergeCell ref="BI82:BI85"/>
    <mergeCell ref="AV88:AV91"/>
    <mergeCell ref="AW88:AW91"/>
    <mergeCell ref="AX88:AX91"/>
    <mergeCell ref="AY88:AY91"/>
    <mergeCell ref="AZ88:AZ91"/>
    <mergeCell ref="BA88:BA91"/>
    <mergeCell ref="BI88:BI91"/>
    <mergeCell ref="AV92:AV95"/>
    <mergeCell ref="AW92:AW95"/>
    <mergeCell ref="AX92:AX95"/>
    <mergeCell ref="AY92:AY95"/>
    <mergeCell ref="AZ92:AZ95"/>
    <mergeCell ref="BA92:BA95"/>
    <mergeCell ref="BI92:BI95"/>
    <mergeCell ref="AV97:AV100"/>
    <mergeCell ref="AW97:AW100"/>
    <mergeCell ref="AX97:AX100"/>
    <mergeCell ref="AY97:AY100"/>
    <mergeCell ref="AZ97:AZ100"/>
    <mergeCell ref="BA97:BA100"/>
    <mergeCell ref="BI97:BI100"/>
    <mergeCell ref="AV101:AV103"/>
    <mergeCell ref="AW101:AW103"/>
    <mergeCell ref="AX101:AX103"/>
    <mergeCell ref="AY101:AY103"/>
    <mergeCell ref="AZ101:AZ103"/>
    <mergeCell ref="BA101:BA103"/>
    <mergeCell ref="BI101:BI103"/>
    <mergeCell ref="AV108:AV110"/>
    <mergeCell ref="AW108:AW110"/>
    <mergeCell ref="AX108:AX110"/>
    <mergeCell ref="AY108:AY110"/>
    <mergeCell ref="AZ108:AZ110"/>
    <mergeCell ref="BA108:BA110"/>
    <mergeCell ref="BI108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AV194:AV195"/>
    <mergeCell ref="AW194:AW195"/>
    <mergeCell ref="AX194:AX195"/>
    <mergeCell ref="AY194:AY195"/>
    <mergeCell ref="AZ194:AZ195"/>
    <mergeCell ref="BA194:BA195"/>
    <mergeCell ref="AV196:AV200"/>
    <mergeCell ref="AW196:AW200"/>
    <mergeCell ref="AX196:AX200"/>
    <mergeCell ref="AY196:AY200"/>
    <mergeCell ref="AZ196:AZ200"/>
    <mergeCell ref="BA196:BA200"/>
    <mergeCell ref="BI196:BI200"/>
    <mergeCell ref="AV201:AV205"/>
    <mergeCell ref="AW201:AW205"/>
    <mergeCell ref="AX201:AX205"/>
    <mergeCell ref="AY201:AY205"/>
    <mergeCell ref="AZ201:AZ205"/>
    <mergeCell ref="BA201:BA205"/>
    <mergeCell ref="BI201:BI205"/>
    <mergeCell ref="AV206:AV216"/>
    <mergeCell ref="AW206:AW216"/>
    <mergeCell ref="AX206:AX216"/>
    <mergeCell ref="AY206:AY216"/>
    <mergeCell ref="AZ206:AZ216"/>
    <mergeCell ref="BA206:BA216"/>
    <mergeCell ref="BI206:BI216"/>
    <mergeCell ref="AV217:AV227"/>
    <mergeCell ref="AW217:AW227"/>
    <mergeCell ref="AX217:AX227"/>
    <mergeCell ref="AY217:AY227"/>
    <mergeCell ref="AZ217:AZ227"/>
    <mergeCell ref="BA217:BA227"/>
    <mergeCell ref="BI217:BI227"/>
    <mergeCell ref="AV228:AV238"/>
    <mergeCell ref="AW228:AW238"/>
    <mergeCell ref="AX228:AX238"/>
    <mergeCell ref="AY228:AY238"/>
    <mergeCell ref="AZ228:AZ238"/>
    <mergeCell ref="BA228:BA238"/>
    <mergeCell ref="BI228:BI238"/>
    <mergeCell ref="AV239:AV246"/>
    <mergeCell ref="AW239:AW246"/>
    <mergeCell ref="AX239:AX246"/>
    <mergeCell ref="AY239:AY246"/>
    <mergeCell ref="AZ239:AZ246"/>
    <mergeCell ref="BA239:BA246"/>
    <mergeCell ref="BI239:BI246"/>
    <mergeCell ref="AV247:AV254"/>
    <mergeCell ref="AW247:AW254"/>
    <mergeCell ref="AX247:AX254"/>
    <mergeCell ref="AY247:AY254"/>
    <mergeCell ref="AZ247:AZ254"/>
    <mergeCell ref="BA247:BA254"/>
    <mergeCell ref="BI247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70"/>
    <mergeCell ref="AW266:AW270"/>
    <mergeCell ref="AX266:AX270"/>
    <mergeCell ref="AY266:AY270"/>
    <mergeCell ref="AZ266:AZ270"/>
    <mergeCell ref="BA266:BA270"/>
    <mergeCell ref="BI266:BI270"/>
    <mergeCell ref="AV271:AV275"/>
    <mergeCell ref="AW271:AW275"/>
    <mergeCell ref="AX271:AX275"/>
    <mergeCell ref="AY271:AY275"/>
    <mergeCell ref="AZ271:AZ275"/>
    <mergeCell ref="BA271:BA275"/>
    <mergeCell ref="BI271:BI275"/>
    <mergeCell ref="AV276:AV280"/>
    <mergeCell ref="AW276:AW280"/>
    <mergeCell ref="AX276:AX280"/>
    <mergeCell ref="AY276:AY280"/>
    <mergeCell ref="AZ276:AZ280"/>
    <mergeCell ref="BA276:BA280"/>
    <mergeCell ref="BI276:BI280"/>
    <mergeCell ref="AV281:AV284"/>
    <mergeCell ref="AW281:AW284"/>
    <mergeCell ref="AX281:AX284"/>
    <mergeCell ref="AY281:AY284"/>
    <mergeCell ref="AZ281:AZ284"/>
    <mergeCell ref="BA281:BA284"/>
    <mergeCell ref="BI281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91"/>
    <mergeCell ref="AW287:AW291"/>
    <mergeCell ref="AX287:AX291"/>
    <mergeCell ref="AY287:AY291"/>
    <mergeCell ref="AZ287:AZ291"/>
    <mergeCell ref="BA287:BA291"/>
    <mergeCell ref="BI287:BI291"/>
    <mergeCell ref="AV292:AV296"/>
    <mergeCell ref="AW292:AW296"/>
    <mergeCell ref="AX292:AX296"/>
    <mergeCell ref="AY292:AY296"/>
    <mergeCell ref="AZ292:AZ296"/>
    <mergeCell ref="BA292:BA296"/>
    <mergeCell ref="BI292:BI296"/>
    <mergeCell ref="AV297:AV301"/>
    <mergeCell ref="AW297:AW301"/>
    <mergeCell ref="AX297:AX301"/>
    <mergeCell ref="AY297:AY301"/>
    <mergeCell ref="AZ297:AZ301"/>
    <mergeCell ref="BA297:BA301"/>
    <mergeCell ref="BI297:BI301"/>
    <mergeCell ref="AV302:AV306"/>
    <mergeCell ref="AW302:AW306"/>
    <mergeCell ref="AX302:AX306"/>
    <mergeCell ref="AY302:AY306"/>
    <mergeCell ref="AZ302:AZ306"/>
    <mergeCell ref="BA302:BA306"/>
    <mergeCell ref="BI302:BI306"/>
    <mergeCell ref="AV307:AV311"/>
    <mergeCell ref="AW307:AW311"/>
    <mergeCell ref="AX307:AX311"/>
    <mergeCell ref="AY307:AY311"/>
    <mergeCell ref="AZ307:AZ311"/>
    <mergeCell ref="BA307:BA311"/>
    <mergeCell ref="BI307:BI311"/>
    <mergeCell ref="AV312:AV316"/>
    <mergeCell ref="AW312:AW316"/>
    <mergeCell ref="AX312:AX316"/>
    <mergeCell ref="AY312:AY316"/>
    <mergeCell ref="AZ312:AZ316"/>
    <mergeCell ref="BA312:BA316"/>
    <mergeCell ref="AV317:AV321"/>
    <mergeCell ref="AW317:AW321"/>
    <mergeCell ref="AX317:AX321"/>
    <mergeCell ref="AY317:AY321"/>
    <mergeCell ref="AZ317:AZ321"/>
    <mergeCell ref="BA317:BA321"/>
    <mergeCell ref="AV322:AV326"/>
    <mergeCell ref="AW322:AW326"/>
    <mergeCell ref="AX322:AX326"/>
    <mergeCell ref="AY322:AY326"/>
    <mergeCell ref="AZ322:AZ326"/>
    <mergeCell ref="BA322:BA326"/>
    <mergeCell ref="AV327:AV328"/>
    <mergeCell ref="AW327:AW328"/>
    <mergeCell ref="AX327:AX328"/>
    <mergeCell ref="AY327:AY328"/>
    <mergeCell ref="AZ327:AZ328"/>
    <mergeCell ref="BA327:BA328"/>
    <mergeCell ref="AV329:AV332"/>
    <mergeCell ref="AW329:AW332"/>
    <mergeCell ref="AX329:AX332"/>
    <mergeCell ref="AY329:AY332"/>
    <mergeCell ref="AZ329:AZ332"/>
    <mergeCell ref="BA329:BA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8"/>
    <mergeCell ref="AW347:AW348"/>
    <mergeCell ref="AX347:AX348"/>
    <mergeCell ref="AY347:AY348"/>
    <mergeCell ref="AZ347:AZ348"/>
    <mergeCell ref="BA347:BA348"/>
    <mergeCell ref="BI347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4"/>
    <mergeCell ref="AW352:AW354"/>
    <mergeCell ref="AX352:AX354"/>
    <mergeCell ref="AY352:AY354"/>
    <mergeCell ref="AZ352:AZ354"/>
    <mergeCell ref="BA352:BA354"/>
    <mergeCell ref="BI352:BI354"/>
    <mergeCell ref="AV355:AV358"/>
    <mergeCell ref="AW355:AW358"/>
    <mergeCell ref="AX355:AX358"/>
    <mergeCell ref="AY355:AY358"/>
    <mergeCell ref="AZ355:AZ358"/>
    <mergeCell ref="BA355:BA358"/>
    <mergeCell ref="BI355:BI358"/>
    <mergeCell ref="AV359:AV362"/>
    <mergeCell ref="AW359:AW362"/>
    <mergeCell ref="AX359:AX362"/>
    <mergeCell ref="AY359:AY362"/>
    <mergeCell ref="AZ359:AZ362"/>
    <mergeCell ref="BA359:BA362"/>
    <mergeCell ref="BI359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9"/>
    <mergeCell ref="AW366:AW369"/>
    <mergeCell ref="AX366:AX369"/>
    <mergeCell ref="AY366:AY369"/>
    <mergeCell ref="AZ366:AZ369"/>
    <mergeCell ref="BA366:BA369"/>
    <mergeCell ref="BI366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78"/>
    <mergeCell ref="AW376:AW378"/>
    <mergeCell ref="AX376:AX378"/>
    <mergeCell ref="AY376:AY378"/>
    <mergeCell ref="AZ376:AZ378"/>
    <mergeCell ref="BA376:BA378"/>
    <mergeCell ref="BI376:BI378"/>
    <mergeCell ref="AV379:AV381"/>
    <mergeCell ref="AW379:AW381"/>
    <mergeCell ref="AX379:AX381"/>
    <mergeCell ref="AY379:AY381"/>
    <mergeCell ref="AZ379:AZ381"/>
    <mergeCell ref="BA379:BA381"/>
    <mergeCell ref="BI379:BI381"/>
    <mergeCell ref="AV382:AV384"/>
    <mergeCell ref="AW382:AW384"/>
    <mergeCell ref="AX382:AX384"/>
    <mergeCell ref="AY382:AY384"/>
    <mergeCell ref="AZ382:AZ384"/>
    <mergeCell ref="BA382:BA384"/>
    <mergeCell ref="BI382:BI384"/>
    <mergeCell ref="AV385:AV387"/>
    <mergeCell ref="AW385:AW387"/>
    <mergeCell ref="AX385:AX387"/>
    <mergeCell ref="AY385:AY387"/>
    <mergeCell ref="AZ385:AZ387"/>
    <mergeCell ref="BA385:BA387"/>
    <mergeCell ref="BI385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BI392:BI393"/>
    <mergeCell ref="AV395:AV396"/>
    <mergeCell ref="AW395:AW396"/>
    <mergeCell ref="AX395:AX396"/>
    <mergeCell ref="AY395:AY396"/>
    <mergeCell ref="AZ395:AZ396"/>
    <mergeCell ref="BA395:BA396"/>
    <mergeCell ref="BI395:BI396"/>
    <mergeCell ref="AV398:AV400"/>
    <mergeCell ref="AW398:AW400"/>
    <mergeCell ref="AX398:AX400"/>
    <mergeCell ref="AY398:AY400"/>
    <mergeCell ref="AZ398:AZ400"/>
    <mergeCell ref="BA398:BA400"/>
    <mergeCell ref="AV401:AV403"/>
    <mergeCell ref="AW401:AW403"/>
    <mergeCell ref="AX401:AX403"/>
    <mergeCell ref="AY401:AY403"/>
    <mergeCell ref="AZ401:AZ403"/>
    <mergeCell ref="BA401:BA403"/>
    <mergeCell ref="AV404:AV406"/>
    <mergeCell ref="AW404:AW406"/>
    <mergeCell ref="AX404:AX406"/>
    <mergeCell ref="AY404:AY406"/>
    <mergeCell ref="AZ404:AZ406"/>
    <mergeCell ref="BA404:BA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2"/>
    <mergeCell ref="AW410:AW412"/>
    <mergeCell ref="AX410:AX412"/>
    <mergeCell ref="AY410:AY412"/>
    <mergeCell ref="AZ410:AZ412"/>
    <mergeCell ref="BA410:BA412"/>
    <mergeCell ref="BI410:BI412"/>
    <mergeCell ref="AV413:AV415"/>
    <mergeCell ref="AW413:AW415"/>
    <mergeCell ref="AX413:AX415"/>
    <mergeCell ref="AY413:AY415"/>
    <mergeCell ref="AZ413:AZ415"/>
    <mergeCell ref="BA413:BA415"/>
    <mergeCell ref="BI413:BI415"/>
    <mergeCell ref="AV416:AV419"/>
    <mergeCell ref="AW416:AW419"/>
    <mergeCell ref="AX416:AX419"/>
    <mergeCell ref="AY416:AY419"/>
    <mergeCell ref="AZ416:AZ419"/>
    <mergeCell ref="BA416:BA419"/>
    <mergeCell ref="BI416:BI419"/>
    <mergeCell ref="AV420:AV422"/>
    <mergeCell ref="AW420:AW422"/>
    <mergeCell ref="AX420:AX422"/>
    <mergeCell ref="AY420:AY422"/>
    <mergeCell ref="AZ420:AZ422"/>
    <mergeCell ref="BA420:BA422"/>
    <mergeCell ref="BI420:BI422"/>
    <mergeCell ref="AV423:AV425"/>
    <mergeCell ref="AW423:AW425"/>
    <mergeCell ref="AX423:AX425"/>
    <mergeCell ref="AY423:AY425"/>
    <mergeCell ref="AZ423:AZ425"/>
    <mergeCell ref="BA423:BA425"/>
    <mergeCell ref="BI423:BI425"/>
    <mergeCell ref="AV426:AV428"/>
    <mergeCell ref="AW426:AW428"/>
    <mergeCell ref="AX426:AX428"/>
    <mergeCell ref="AY426:AY428"/>
    <mergeCell ref="AZ426:AZ428"/>
    <mergeCell ref="BA426:BA428"/>
    <mergeCell ref="BI426:BI428"/>
    <mergeCell ref="AV429:AV431"/>
    <mergeCell ref="AW429:AW431"/>
    <mergeCell ref="AX429:AX431"/>
    <mergeCell ref="AY429:AY431"/>
    <mergeCell ref="AZ429:AZ431"/>
    <mergeCell ref="BA429:BA431"/>
    <mergeCell ref="BI429:BI431"/>
    <mergeCell ref="AV432:AV435"/>
    <mergeCell ref="AW432:AW435"/>
    <mergeCell ref="AX432:AX435"/>
    <mergeCell ref="AY432:AY435"/>
    <mergeCell ref="AZ432:AZ435"/>
    <mergeCell ref="BA432:BA435"/>
    <mergeCell ref="BI432:BI435"/>
    <mergeCell ref="AV436:AV437"/>
    <mergeCell ref="AW436:AW437"/>
    <mergeCell ref="AX436:AX437"/>
    <mergeCell ref="AY436:AY437"/>
    <mergeCell ref="AZ436:AZ437"/>
    <mergeCell ref="BA436:BA437"/>
    <mergeCell ref="BI436:BI437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7"/>
    <mergeCell ref="AW445:AW447"/>
    <mergeCell ref="AX445:AX447"/>
    <mergeCell ref="AY445:AY447"/>
    <mergeCell ref="AZ445:AZ447"/>
    <mergeCell ref="BA445:BA447"/>
    <mergeCell ref="BI445:BI447"/>
    <mergeCell ref="AV448:AV450"/>
    <mergeCell ref="AW448:AW450"/>
    <mergeCell ref="AX448:AX450"/>
    <mergeCell ref="AY448:AY450"/>
    <mergeCell ref="AZ448:AZ450"/>
    <mergeCell ref="BA448:BA450"/>
    <mergeCell ref="BI448:BI450"/>
    <mergeCell ref="AV451:AV453"/>
    <mergeCell ref="AW451:AW453"/>
    <mergeCell ref="AX451:AX453"/>
    <mergeCell ref="AY451:AY453"/>
    <mergeCell ref="AZ451:AZ453"/>
    <mergeCell ref="BA451:BA453"/>
    <mergeCell ref="BI451:BI453"/>
    <mergeCell ref="AV454:AV456"/>
    <mergeCell ref="AW454:AW456"/>
    <mergeCell ref="AX454:AX456"/>
    <mergeCell ref="AY454:AY456"/>
    <mergeCell ref="AZ454:AZ456"/>
    <mergeCell ref="BA454:BA456"/>
    <mergeCell ref="BI454:BI456"/>
    <mergeCell ref="AV467:AV469"/>
    <mergeCell ref="AW467:AW469"/>
    <mergeCell ref="AX467:AX469"/>
    <mergeCell ref="AY467:AY469"/>
    <mergeCell ref="AZ467:AZ469"/>
    <mergeCell ref="BA467:BA469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3"/>
    <mergeCell ref="AW501:AW503"/>
    <mergeCell ref="AX501:AX503"/>
    <mergeCell ref="AY501:AY503"/>
    <mergeCell ref="AZ501:AZ503"/>
    <mergeCell ref="BA501:BA503"/>
    <mergeCell ref="BI501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11:AV512"/>
    <mergeCell ref="AW511:AW512"/>
    <mergeCell ref="AX511:AX512"/>
    <mergeCell ref="AY511:AY512"/>
    <mergeCell ref="AZ511:AZ512"/>
    <mergeCell ref="BA511:BA512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47:AV548"/>
    <mergeCell ref="AW547:AW548"/>
    <mergeCell ref="AX547:AX548"/>
    <mergeCell ref="AY547:AY548"/>
    <mergeCell ref="AZ547:AZ548"/>
    <mergeCell ref="BA547:BA548"/>
    <mergeCell ref="BI547:BI548"/>
    <mergeCell ref="AV549:AV550"/>
    <mergeCell ref="AW549:AW550"/>
    <mergeCell ref="AX549:AX550"/>
    <mergeCell ref="AY549:AY550"/>
    <mergeCell ref="AZ549:AZ550"/>
    <mergeCell ref="BA549:BA550"/>
    <mergeCell ref="BI549:BI550"/>
    <mergeCell ref="AV552:AV553"/>
    <mergeCell ref="AW552:AW553"/>
    <mergeCell ref="AX552:AX553"/>
    <mergeCell ref="AY552:AY553"/>
    <mergeCell ref="AZ552:AZ553"/>
    <mergeCell ref="BA552:BA553"/>
    <mergeCell ref="BI552:BI553"/>
    <mergeCell ref="AV592:AV593"/>
    <mergeCell ref="AW592:AW593"/>
    <mergeCell ref="AX592:AX593"/>
    <mergeCell ref="AY592:AY593"/>
    <mergeCell ref="AZ592:AZ593"/>
    <mergeCell ref="BA592:BA593"/>
    <mergeCell ref="BI592:BI593"/>
    <mergeCell ref="AV603:AV604"/>
    <mergeCell ref="AW603:AW604"/>
    <mergeCell ref="AX603:AX604"/>
    <mergeCell ref="AY603:AY604"/>
    <mergeCell ref="AZ603:AZ604"/>
    <mergeCell ref="BA603:BA604"/>
    <mergeCell ref="AV605:AV606"/>
    <mergeCell ref="AW605:AW606"/>
    <mergeCell ref="AX605:AX606"/>
    <mergeCell ref="AY605:AY606"/>
    <mergeCell ref="AZ605:AZ606"/>
    <mergeCell ref="BA605:BA606"/>
    <mergeCell ref="AV619:AV620"/>
    <mergeCell ref="AW619:AW620"/>
    <mergeCell ref="AX619:AX620"/>
    <mergeCell ref="AY619:AY620"/>
    <mergeCell ref="AZ619:AZ620"/>
    <mergeCell ref="BA619:BA620"/>
    <mergeCell ref="AV621:AV622"/>
    <mergeCell ref="AW621:AW622"/>
    <mergeCell ref="AX621:AX622"/>
    <mergeCell ref="AY621:AY622"/>
    <mergeCell ref="AZ621:AZ622"/>
    <mergeCell ref="BA621:BA622"/>
    <mergeCell ref="AV626:AV628"/>
    <mergeCell ref="AW626:AW628"/>
    <mergeCell ref="AX626:AX628"/>
    <mergeCell ref="AY626:AY628"/>
    <mergeCell ref="AZ626:AZ628"/>
    <mergeCell ref="BA626:BA628"/>
    <mergeCell ref="BI626:BI628"/>
    <mergeCell ref="AV629:AV631"/>
    <mergeCell ref="AW629:AW631"/>
    <mergeCell ref="AX629:AX631"/>
    <mergeCell ref="AY629:AY631"/>
    <mergeCell ref="AZ629:AZ631"/>
    <mergeCell ref="BA629:BA631"/>
    <mergeCell ref="BI629:BI631"/>
    <mergeCell ref="AV632:AV634"/>
    <mergeCell ref="AW632:AW634"/>
    <mergeCell ref="AX632:AX634"/>
    <mergeCell ref="AY632:AY634"/>
    <mergeCell ref="AZ632:AZ634"/>
    <mergeCell ref="BA632:BA634"/>
    <mergeCell ref="BI632:BI634"/>
    <mergeCell ref="AV635:AV637"/>
    <mergeCell ref="AW635:AW637"/>
    <mergeCell ref="AX635:AX637"/>
    <mergeCell ref="AY635:AY637"/>
    <mergeCell ref="AZ635:AZ637"/>
    <mergeCell ref="BA635:BA637"/>
    <mergeCell ref="BI635:BI637"/>
    <mergeCell ref="AV638:AV641"/>
    <mergeCell ref="AW638:AW641"/>
    <mergeCell ref="AX638:AX641"/>
    <mergeCell ref="AY638:AY641"/>
    <mergeCell ref="AZ638:AZ641"/>
    <mergeCell ref="BA638:BA641"/>
    <mergeCell ref="BI638:BI641"/>
    <mergeCell ref="AV642:AV645"/>
    <mergeCell ref="AW642:AW645"/>
    <mergeCell ref="AX642:AX645"/>
    <mergeCell ref="AY642:AY645"/>
    <mergeCell ref="AZ642:AZ645"/>
    <mergeCell ref="BA642:BA645"/>
    <mergeCell ref="BI642:BI645"/>
    <mergeCell ref="AV646:AV649"/>
    <mergeCell ref="AW646:AW649"/>
    <mergeCell ref="AX646:AX649"/>
    <mergeCell ref="AY646:AY649"/>
    <mergeCell ref="AZ646:AZ649"/>
    <mergeCell ref="BA646:BA649"/>
    <mergeCell ref="BI646:BI649"/>
    <mergeCell ref="AV650:AV652"/>
    <mergeCell ref="AW650:AW652"/>
    <mergeCell ref="AX650:AX652"/>
    <mergeCell ref="AY650:AY652"/>
    <mergeCell ref="AZ650:AZ652"/>
    <mergeCell ref="BA650:BA652"/>
    <mergeCell ref="BI650:BI652"/>
    <mergeCell ref="AV654:AV656"/>
    <mergeCell ref="AW654:AW656"/>
    <mergeCell ref="AX654:AX656"/>
    <mergeCell ref="AY654:AY656"/>
    <mergeCell ref="AZ654:AZ656"/>
    <mergeCell ref="BA654:BA656"/>
    <mergeCell ref="BI654:BI656"/>
    <mergeCell ref="AV657:AV659"/>
    <mergeCell ref="AW657:AW659"/>
    <mergeCell ref="AX657:AX659"/>
    <mergeCell ref="AY657:AY659"/>
    <mergeCell ref="AZ657:AZ659"/>
    <mergeCell ref="BA657:BA659"/>
    <mergeCell ref="BI657:BI659"/>
    <mergeCell ref="AV660:AV662"/>
    <mergeCell ref="AW660:AW662"/>
    <mergeCell ref="AX660:AX662"/>
    <mergeCell ref="AY660:AY662"/>
    <mergeCell ref="AZ660:AZ662"/>
    <mergeCell ref="BA660:BA662"/>
    <mergeCell ref="BI660:BI662"/>
    <mergeCell ref="AV663:AV665"/>
    <mergeCell ref="AW663:AW665"/>
    <mergeCell ref="AX663:AX665"/>
    <mergeCell ref="AY663:AY665"/>
    <mergeCell ref="AZ663:AZ665"/>
    <mergeCell ref="BA663:BA665"/>
    <mergeCell ref="BI663:BI665"/>
    <mergeCell ref="AV666:AV668"/>
    <mergeCell ref="AW666:AW668"/>
    <mergeCell ref="AX666:AX668"/>
    <mergeCell ref="AY666:AY668"/>
    <mergeCell ref="AZ666:AZ668"/>
    <mergeCell ref="BA666:BA668"/>
    <mergeCell ref="BI666:BI668"/>
    <mergeCell ref="AV669:AV673"/>
    <mergeCell ref="AW669:AW673"/>
    <mergeCell ref="AX669:AX673"/>
    <mergeCell ref="AY669:AY673"/>
    <mergeCell ref="AZ669:AZ673"/>
    <mergeCell ref="BA669:BA673"/>
    <mergeCell ref="BI669:BI673"/>
    <mergeCell ref="AV674:AV678"/>
    <mergeCell ref="AW674:AW678"/>
    <mergeCell ref="AX674:AX678"/>
    <mergeCell ref="AY674:AY678"/>
    <mergeCell ref="AZ674:AZ678"/>
    <mergeCell ref="BA674:BA678"/>
    <mergeCell ref="BI674:BI678"/>
    <mergeCell ref="AV679:AV683"/>
    <mergeCell ref="AW679:AW683"/>
    <mergeCell ref="AX679:AX683"/>
    <mergeCell ref="AY679:AY683"/>
    <mergeCell ref="AZ679:AZ683"/>
    <mergeCell ref="BA679:BA683"/>
    <mergeCell ref="BI679:BI683"/>
    <mergeCell ref="AV684:AV688"/>
    <mergeCell ref="AW684:AW688"/>
    <mergeCell ref="AX684:AX688"/>
    <mergeCell ref="AY684:AY688"/>
    <mergeCell ref="AZ684:AZ688"/>
    <mergeCell ref="BA684:BA688"/>
    <mergeCell ref="BI684:BI688"/>
    <mergeCell ref="AV689:AV691"/>
    <mergeCell ref="AW689:AW691"/>
    <mergeCell ref="AX689:AX691"/>
    <mergeCell ref="AY689:AY691"/>
    <mergeCell ref="AZ689:AZ691"/>
    <mergeCell ref="BA689:BA691"/>
    <mergeCell ref="BI689:BI691"/>
    <mergeCell ref="AV692:AV694"/>
    <mergeCell ref="AW692:AW694"/>
    <mergeCell ref="AX692:AX694"/>
    <mergeCell ref="AY692:AY694"/>
    <mergeCell ref="AZ692:AZ694"/>
    <mergeCell ref="BA692:BA694"/>
    <mergeCell ref="BI692:BI694"/>
    <mergeCell ref="AV695:AV697"/>
    <mergeCell ref="AW695:AW697"/>
    <mergeCell ref="AX695:AX697"/>
    <mergeCell ref="AY695:AY697"/>
    <mergeCell ref="AZ695:AZ697"/>
    <mergeCell ref="BA695:BA697"/>
    <mergeCell ref="BI695:BI697"/>
    <mergeCell ref="AV698:AV700"/>
    <mergeCell ref="AW698:AW700"/>
    <mergeCell ref="AX698:AX700"/>
    <mergeCell ref="AY698:AY700"/>
    <mergeCell ref="AZ698:AZ700"/>
    <mergeCell ref="BA698:BA700"/>
    <mergeCell ref="BI698:BI700"/>
    <mergeCell ref="AV701:AV703"/>
    <mergeCell ref="AW701:AW703"/>
    <mergeCell ref="AX701:AX703"/>
    <mergeCell ref="AY701:AY703"/>
    <mergeCell ref="AZ701:AZ703"/>
    <mergeCell ref="BA701:BA703"/>
    <mergeCell ref="BI701:BI703"/>
    <mergeCell ref="AV704:AV706"/>
    <mergeCell ref="AW704:AW706"/>
    <mergeCell ref="AX704:AX706"/>
    <mergeCell ref="AY704:AY706"/>
    <mergeCell ref="AZ704:AZ706"/>
    <mergeCell ref="BA704:BA706"/>
    <mergeCell ref="BI704:BI706"/>
    <mergeCell ref="AV707:AV708"/>
    <mergeCell ref="AW707:AW708"/>
    <mergeCell ref="AX707:AX708"/>
    <mergeCell ref="AY707:AY708"/>
    <mergeCell ref="AZ707:AZ708"/>
    <mergeCell ref="BA707:BA708"/>
    <mergeCell ref="BI707:BI708"/>
    <mergeCell ref="AV709:AV711"/>
    <mergeCell ref="AW709:AW711"/>
    <mergeCell ref="AX709:AX711"/>
    <mergeCell ref="AY709:AY711"/>
    <mergeCell ref="AZ709:AZ711"/>
    <mergeCell ref="BA709:BA711"/>
    <mergeCell ref="BI709:BI711"/>
    <mergeCell ref="AV712:AV714"/>
    <mergeCell ref="AW712:AW714"/>
    <mergeCell ref="AX712:AX714"/>
    <mergeCell ref="AY712:AY714"/>
    <mergeCell ref="AZ712:AZ714"/>
    <mergeCell ref="BA712:BA714"/>
    <mergeCell ref="BI712:BI714"/>
    <mergeCell ref="AV715:AV716"/>
    <mergeCell ref="AW715:AW716"/>
    <mergeCell ref="AX715:AX716"/>
    <mergeCell ref="AY715:AY716"/>
    <mergeCell ref="AZ715:AZ716"/>
    <mergeCell ref="BA715:BA716"/>
    <mergeCell ref="BI715:BI716"/>
    <mergeCell ref="AV717:AV718"/>
    <mergeCell ref="AW717:AW718"/>
    <mergeCell ref="AX717:AX718"/>
    <mergeCell ref="AY717:AY718"/>
    <mergeCell ref="AZ717:AZ718"/>
    <mergeCell ref="BA717:BA718"/>
    <mergeCell ref="BI717:BI718"/>
    <mergeCell ref="AV719:AV721"/>
    <mergeCell ref="AW719:AW721"/>
    <mergeCell ref="AX719:AX721"/>
    <mergeCell ref="AY719:AY721"/>
    <mergeCell ref="AZ719:AZ721"/>
    <mergeCell ref="BA719:BA721"/>
    <mergeCell ref="BI719:BI721"/>
    <mergeCell ref="AV722:AV724"/>
    <mergeCell ref="AW722:AW724"/>
    <mergeCell ref="AX722:AX724"/>
    <mergeCell ref="AY722:AY724"/>
    <mergeCell ref="AZ722:AZ724"/>
    <mergeCell ref="BA722:BA724"/>
    <mergeCell ref="BI722:BI724"/>
    <mergeCell ref="AV725:AV726"/>
    <mergeCell ref="AW725:AW726"/>
    <mergeCell ref="AX725:AX726"/>
    <mergeCell ref="AY725:AY726"/>
    <mergeCell ref="AZ725:AZ726"/>
    <mergeCell ref="BA725:BA726"/>
    <mergeCell ref="BI725:BI726"/>
    <mergeCell ref="AV727:AV728"/>
    <mergeCell ref="AW727:AW728"/>
    <mergeCell ref="AX727:AX728"/>
    <mergeCell ref="AY727:AY728"/>
    <mergeCell ref="AZ727:AZ728"/>
    <mergeCell ref="BA727:BA728"/>
    <mergeCell ref="BI727:BI728"/>
    <mergeCell ref="AV730:AV731"/>
    <mergeCell ref="AW730:AW731"/>
    <mergeCell ref="AX730:AX731"/>
    <mergeCell ref="AY730:AY731"/>
    <mergeCell ref="AZ730:AZ731"/>
    <mergeCell ref="BA730:BA731"/>
    <mergeCell ref="BI730:BI731"/>
    <mergeCell ref="AV732:AV733"/>
    <mergeCell ref="AW732:AW733"/>
    <mergeCell ref="AX732:AX733"/>
    <mergeCell ref="AY732:AY733"/>
    <mergeCell ref="AZ732:AZ733"/>
    <mergeCell ref="BA732:BA733"/>
    <mergeCell ref="BI732:BI733"/>
    <mergeCell ref="AV735:AV736"/>
    <mergeCell ref="AW735:AW736"/>
    <mergeCell ref="AX735:AX736"/>
    <mergeCell ref="AY735:AY736"/>
    <mergeCell ref="AZ735:AZ736"/>
    <mergeCell ref="BA735:BA736"/>
    <mergeCell ref="BI735:BI736"/>
    <mergeCell ref="AV737:AV738"/>
    <mergeCell ref="AW737:AW738"/>
    <mergeCell ref="AX737:AX738"/>
    <mergeCell ref="AY737:AY738"/>
    <mergeCell ref="AZ737:AZ738"/>
    <mergeCell ref="BA737:BA738"/>
    <mergeCell ref="BI737:BI738"/>
    <mergeCell ref="AV739:AV740"/>
    <mergeCell ref="AW739:AW740"/>
    <mergeCell ref="AX739:AX740"/>
    <mergeCell ref="AY739:AY740"/>
    <mergeCell ref="AZ739:AZ740"/>
    <mergeCell ref="BA739:BA740"/>
    <mergeCell ref="BI739:BI740"/>
    <mergeCell ref="AV744:AV745"/>
    <mergeCell ref="AW744:AW745"/>
    <mergeCell ref="AX744:AX745"/>
    <mergeCell ref="AY744:AY745"/>
    <mergeCell ref="AZ744:AZ745"/>
    <mergeCell ref="BA744:BA745"/>
    <mergeCell ref="BI744:BI745"/>
    <mergeCell ref="AV746:AV747"/>
    <mergeCell ref="AW746:AW747"/>
    <mergeCell ref="AX746:AX747"/>
    <mergeCell ref="AY746:AY747"/>
    <mergeCell ref="AZ746:AZ747"/>
    <mergeCell ref="BA746:BA747"/>
    <mergeCell ref="BI746:BI747"/>
    <mergeCell ref="AV751:AV752"/>
    <mergeCell ref="AW751:AW752"/>
    <mergeCell ref="AX751:AX752"/>
    <mergeCell ref="AY751:AY752"/>
    <mergeCell ref="AZ751:AZ752"/>
    <mergeCell ref="BA751:BA752"/>
    <mergeCell ref="AV753:AV754"/>
    <mergeCell ref="AW753:AW754"/>
    <mergeCell ref="AX753:AX754"/>
    <mergeCell ref="AY753:AY754"/>
    <mergeCell ref="AZ753:AZ754"/>
    <mergeCell ref="BA753:BA754"/>
    <mergeCell ref="AV755:AV757"/>
    <mergeCell ref="AW755:AW757"/>
    <mergeCell ref="AX755:AX757"/>
    <mergeCell ref="AY755:AY757"/>
    <mergeCell ref="AZ755:AZ757"/>
    <mergeCell ref="BA755:BA757"/>
    <mergeCell ref="BI755:BI757"/>
    <mergeCell ref="AV758:AV760"/>
    <mergeCell ref="AW758:AW760"/>
    <mergeCell ref="AX758:AX760"/>
    <mergeCell ref="AY758:AY760"/>
    <mergeCell ref="AZ758:AZ760"/>
    <mergeCell ref="BA758:BA760"/>
    <mergeCell ref="BI758:BI760"/>
    <mergeCell ref="AV761:AV763"/>
    <mergeCell ref="AW761:AW763"/>
    <mergeCell ref="AX761:AX763"/>
    <mergeCell ref="AY761:AY763"/>
    <mergeCell ref="AZ761:AZ763"/>
    <mergeCell ref="BA761:BA763"/>
    <mergeCell ref="BI761:BI763"/>
    <mergeCell ref="AV764:AV765"/>
    <mergeCell ref="AW764:AW765"/>
    <mergeCell ref="AX764:AX765"/>
    <mergeCell ref="AY764:AY765"/>
    <mergeCell ref="AZ764:AZ765"/>
    <mergeCell ref="BA764:BA765"/>
    <mergeCell ref="BI764:BI765"/>
    <mergeCell ref="AV766:AV767"/>
    <mergeCell ref="AW766:AW767"/>
    <mergeCell ref="AX766:AX767"/>
    <mergeCell ref="AY766:AY767"/>
    <mergeCell ref="AZ766:AZ767"/>
    <mergeCell ref="BA766:BA767"/>
    <mergeCell ref="BI766:BI767"/>
    <mergeCell ref="AV768:AV770"/>
    <mergeCell ref="AW768:AW770"/>
    <mergeCell ref="AX768:AX770"/>
    <mergeCell ref="AY768:AY770"/>
    <mergeCell ref="AZ768:AZ770"/>
    <mergeCell ref="BA768:BA770"/>
    <mergeCell ref="BI768:BI770"/>
    <mergeCell ref="AV771:AV773"/>
    <mergeCell ref="AW771:AW773"/>
    <mergeCell ref="AX771:AX773"/>
    <mergeCell ref="AY771:AY773"/>
    <mergeCell ref="AZ771:AZ773"/>
    <mergeCell ref="BA771:BA773"/>
    <mergeCell ref="BI771:BI773"/>
    <mergeCell ref="AV774:AV776"/>
    <mergeCell ref="AW774:AW776"/>
    <mergeCell ref="AX774:AX776"/>
    <mergeCell ref="AY774:AY776"/>
    <mergeCell ref="AZ774:AZ776"/>
    <mergeCell ref="BA774:BA776"/>
    <mergeCell ref="BI774:BI776"/>
    <mergeCell ref="AV777:AV779"/>
    <mergeCell ref="AW777:AW779"/>
    <mergeCell ref="AX777:AX779"/>
    <mergeCell ref="AY777:AY779"/>
    <mergeCell ref="AZ777:AZ779"/>
    <mergeCell ref="BA777:BA779"/>
    <mergeCell ref="BI777:BI779"/>
    <mergeCell ref="AV784:AV785"/>
    <mergeCell ref="AW784:AW785"/>
    <mergeCell ref="AX784:AX785"/>
    <mergeCell ref="AY784:AY785"/>
    <mergeCell ref="AZ784:AZ785"/>
    <mergeCell ref="BA784:BA785"/>
    <mergeCell ref="BI784:BI785"/>
    <mergeCell ref="AV786:AV787"/>
    <mergeCell ref="AW786:AW787"/>
    <mergeCell ref="AX786:AX787"/>
    <mergeCell ref="AY786:AY787"/>
    <mergeCell ref="AZ786:AZ787"/>
    <mergeCell ref="BA786:BA787"/>
    <mergeCell ref="BI786:BI787"/>
    <mergeCell ref="AV788:AV789"/>
    <mergeCell ref="AW788:AW789"/>
    <mergeCell ref="AX788:AX789"/>
    <mergeCell ref="AY788:AY789"/>
    <mergeCell ref="AZ788:AZ789"/>
    <mergeCell ref="BA788:BA789"/>
    <mergeCell ref="BI788:BI789"/>
    <mergeCell ref="AV790:AV791"/>
    <mergeCell ref="AW790:AW791"/>
    <mergeCell ref="AX790:AX791"/>
    <mergeCell ref="AY790:AY791"/>
    <mergeCell ref="AZ790:AZ791"/>
    <mergeCell ref="BA790:BA791"/>
    <mergeCell ref="BI790:BI791"/>
    <mergeCell ref="AV792:AV793"/>
    <mergeCell ref="AW792:AW793"/>
    <mergeCell ref="AX792:AX793"/>
    <mergeCell ref="AY792:AY793"/>
    <mergeCell ref="AZ792:AZ793"/>
    <mergeCell ref="BA792:BA793"/>
    <mergeCell ref="BI792:BI793"/>
    <mergeCell ref="AV794:AV795"/>
    <mergeCell ref="AW794:AW795"/>
    <mergeCell ref="AX794:AX795"/>
    <mergeCell ref="AY794:AY795"/>
    <mergeCell ref="AZ794:AZ795"/>
    <mergeCell ref="BA794:BA795"/>
    <mergeCell ref="BI794:BI795"/>
    <mergeCell ref="AV796:AV797"/>
    <mergeCell ref="AW796:AW797"/>
    <mergeCell ref="AX796:AX797"/>
    <mergeCell ref="AY796:AY797"/>
    <mergeCell ref="AZ796:AZ797"/>
    <mergeCell ref="BA796:BA797"/>
    <mergeCell ref="BI796:BI797"/>
    <mergeCell ref="AV798:AV799"/>
    <mergeCell ref="AW798:AW799"/>
    <mergeCell ref="AX798:AX799"/>
    <mergeCell ref="AY798:AY799"/>
    <mergeCell ref="AZ798:AZ799"/>
    <mergeCell ref="BA798:BA799"/>
    <mergeCell ref="BI798:BI799"/>
    <mergeCell ref="AV800:AV801"/>
    <mergeCell ref="AW800:AW801"/>
    <mergeCell ref="AX800:AX801"/>
    <mergeCell ref="AY800:AY801"/>
    <mergeCell ref="AZ800:AZ801"/>
    <mergeCell ref="BA800:BA801"/>
    <mergeCell ref="BI800:BI801"/>
    <mergeCell ref="AV802:AV803"/>
    <mergeCell ref="AW802:AW803"/>
    <mergeCell ref="AX802:AX803"/>
    <mergeCell ref="AY802:AY803"/>
    <mergeCell ref="AZ802:AZ803"/>
    <mergeCell ref="BA802:BA803"/>
    <mergeCell ref="BI802:BI803"/>
    <mergeCell ref="AV815:AV816"/>
    <mergeCell ref="AW815:AW816"/>
    <mergeCell ref="AX815:AX816"/>
    <mergeCell ref="AY815:AY816"/>
    <mergeCell ref="AZ815:AZ816"/>
    <mergeCell ref="BA815:BA816"/>
    <mergeCell ref="AV817:AV818"/>
    <mergeCell ref="AW817:AW818"/>
    <mergeCell ref="AX817:AX818"/>
    <mergeCell ref="AY817:AY818"/>
    <mergeCell ref="AZ817:AZ818"/>
    <mergeCell ref="BA817:BA818"/>
    <mergeCell ref="AV820:AV821"/>
    <mergeCell ref="AW820:AW821"/>
    <mergeCell ref="AX820:AX821"/>
    <mergeCell ref="AY820:AY821"/>
    <mergeCell ref="AZ820:AZ821"/>
    <mergeCell ref="BA820:BA821"/>
    <mergeCell ref="BI820:BI821"/>
    <mergeCell ref="AV822:AV823"/>
    <mergeCell ref="AW822:AW823"/>
    <mergeCell ref="AX822:AX823"/>
    <mergeCell ref="AY822:AY823"/>
    <mergeCell ref="AZ822:AZ823"/>
    <mergeCell ref="BA822:BA823"/>
    <mergeCell ref="BI822:BI823"/>
    <mergeCell ref="AV841:AV842"/>
    <mergeCell ref="AW841:AW842"/>
    <mergeCell ref="AX841:AX842"/>
    <mergeCell ref="AY841:AY842"/>
    <mergeCell ref="AZ841:AZ842"/>
    <mergeCell ref="BA841:BA842"/>
    <mergeCell ref="BI841:BI842"/>
    <mergeCell ref="AV844:AV845"/>
    <mergeCell ref="AW844:AW845"/>
    <mergeCell ref="AX844:AX845"/>
    <mergeCell ref="AY844:AY845"/>
    <mergeCell ref="AZ844:AZ845"/>
    <mergeCell ref="BA844:BA845"/>
    <mergeCell ref="BI844:BI845"/>
    <mergeCell ref="AV846:AV847"/>
    <mergeCell ref="AW846:AW847"/>
    <mergeCell ref="AX846:AX847"/>
    <mergeCell ref="AY846:AY847"/>
    <mergeCell ref="AZ846:AZ847"/>
    <mergeCell ref="BA846:BA847"/>
    <mergeCell ref="BI846:BI847"/>
    <mergeCell ref="AV852:AV853"/>
    <mergeCell ref="AW852:AW853"/>
    <mergeCell ref="AX852:AX853"/>
    <mergeCell ref="AY852:AY853"/>
    <mergeCell ref="AZ852:AZ853"/>
    <mergeCell ref="BA852:BA853"/>
    <mergeCell ref="AV854:AV855"/>
    <mergeCell ref="AW854:AW855"/>
    <mergeCell ref="AX854:AX855"/>
    <mergeCell ref="AY854:AY855"/>
    <mergeCell ref="AZ854:AZ855"/>
    <mergeCell ref="BA854:BA855"/>
    <mergeCell ref="AV867:AV869"/>
    <mergeCell ref="AW867:AW869"/>
    <mergeCell ref="AX867:AX869"/>
    <mergeCell ref="AY867:AY869"/>
    <mergeCell ref="AZ867:AZ869"/>
    <mergeCell ref="BA867:BA869"/>
    <mergeCell ref="BI867:BI869"/>
    <mergeCell ref="AV870:AV872"/>
    <mergeCell ref="AW870:AW872"/>
    <mergeCell ref="AX870:AX872"/>
    <mergeCell ref="AY870:AY872"/>
    <mergeCell ref="AZ870:AZ872"/>
    <mergeCell ref="BA870:BA872"/>
    <mergeCell ref="BI870:BI872"/>
    <mergeCell ref="AV873:AV875"/>
    <mergeCell ref="AW873:AW875"/>
    <mergeCell ref="AX873:AX875"/>
    <mergeCell ref="AY873:AY875"/>
    <mergeCell ref="AZ873:AZ875"/>
    <mergeCell ref="BA873:BA875"/>
    <mergeCell ref="BI873:BI875"/>
    <mergeCell ref="AV876:AV878"/>
    <mergeCell ref="AW876:AW878"/>
    <mergeCell ref="AX876:AX878"/>
    <mergeCell ref="AY876:AY878"/>
    <mergeCell ref="AZ876:AZ878"/>
    <mergeCell ref="BA876:BA878"/>
    <mergeCell ref="BI876:BI878"/>
    <mergeCell ref="AV879:AV880"/>
    <mergeCell ref="AW879:AW880"/>
    <mergeCell ref="AX879:AX880"/>
    <mergeCell ref="AY879:AY880"/>
    <mergeCell ref="AZ879:AZ880"/>
    <mergeCell ref="BA879:BA880"/>
    <mergeCell ref="BI879:BI880"/>
    <mergeCell ref="AV881:AV882"/>
    <mergeCell ref="AW881:AW882"/>
    <mergeCell ref="AX881:AX882"/>
    <mergeCell ref="AY881:AY882"/>
    <mergeCell ref="AZ881:AZ882"/>
    <mergeCell ref="BA881:BA882"/>
    <mergeCell ref="BI881:BI882"/>
    <mergeCell ref="AV883:AV884"/>
    <mergeCell ref="AW883:AW884"/>
    <mergeCell ref="AX883:AX884"/>
    <mergeCell ref="AY883:AY884"/>
    <mergeCell ref="AZ883:AZ884"/>
    <mergeCell ref="BA883:BA884"/>
    <mergeCell ref="BI883:BI884"/>
    <mergeCell ref="AV885:AV886"/>
    <mergeCell ref="AW885:AW886"/>
    <mergeCell ref="AX885:AX886"/>
    <mergeCell ref="AY885:AY886"/>
    <mergeCell ref="AZ885:AZ886"/>
    <mergeCell ref="BA885:BA886"/>
    <mergeCell ref="BI885:BI886"/>
    <mergeCell ref="AV887:AV888"/>
    <mergeCell ref="AW887:AW888"/>
    <mergeCell ref="AX887:AX888"/>
    <mergeCell ref="AY887:AY888"/>
    <mergeCell ref="AZ887:AZ888"/>
    <mergeCell ref="BA887:BA888"/>
    <mergeCell ref="BI887:BI888"/>
    <mergeCell ref="AV889:AV891"/>
    <mergeCell ref="AW889:AW891"/>
    <mergeCell ref="AX889:AX891"/>
    <mergeCell ref="AY889:AY891"/>
    <mergeCell ref="AZ889:AZ891"/>
    <mergeCell ref="BA889:BA891"/>
    <mergeCell ref="BI889:BI891"/>
    <mergeCell ref="AV892:AV894"/>
    <mergeCell ref="AW892:AW894"/>
    <mergeCell ref="AX892:AX894"/>
    <mergeCell ref="AY892:AY894"/>
    <mergeCell ref="AZ892:AZ894"/>
    <mergeCell ref="BA892:BA894"/>
    <mergeCell ref="BI892:BI894"/>
    <mergeCell ref="AV895:AV897"/>
    <mergeCell ref="AW895:AW897"/>
    <mergeCell ref="AX895:AX897"/>
    <mergeCell ref="AY895:AY897"/>
    <mergeCell ref="AZ895:AZ897"/>
    <mergeCell ref="BA895:BA897"/>
    <mergeCell ref="BI895:BI897"/>
    <mergeCell ref="AV898:AV900"/>
    <mergeCell ref="AW898:AW900"/>
    <mergeCell ref="AX898:AX900"/>
    <mergeCell ref="AY898:AY900"/>
    <mergeCell ref="AZ898:AZ900"/>
    <mergeCell ref="BA898:BA900"/>
    <mergeCell ref="BI898:BI900"/>
    <mergeCell ref="AV901:AV903"/>
    <mergeCell ref="AW901:AW903"/>
    <mergeCell ref="AX901:AX903"/>
    <mergeCell ref="AY901:AY903"/>
    <mergeCell ref="AZ901:AZ903"/>
    <mergeCell ref="BA901:BA903"/>
    <mergeCell ref="BI901:BI903"/>
    <mergeCell ref="AV911:AV912"/>
    <mergeCell ref="AW911:AW912"/>
    <mergeCell ref="AX911:AX912"/>
    <mergeCell ref="AY911:AY912"/>
    <mergeCell ref="AZ911:AZ912"/>
    <mergeCell ref="BA911:BA912"/>
    <mergeCell ref="AV913:AV914"/>
    <mergeCell ref="AW913:AW914"/>
    <mergeCell ref="AX913:AX914"/>
    <mergeCell ref="AY913:AY914"/>
    <mergeCell ref="AZ913:AZ914"/>
    <mergeCell ref="BA913:BA914"/>
    <mergeCell ref="AV915:AV917"/>
    <mergeCell ref="AW915:AW917"/>
    <mergeCell ref="AX915:AX917"/>
    <mergeCell ref="AY915:AY917"/>
    <mergeCell ref="AZ915:AZ917"/>
    <mergeCell ref="BA915:BA917"/>
    <mergeCell ref="AV918:AV920"/>
    <mergeCell ref="AW918:AW920"/>
    <mergeCell ref="AX918:AX920"/>
    <mergeCell ref="AY918:AY920"/>
    <mergeCell ref="AZ918:AZ920"/>
    <mergeCell ref="BA918:BA920"/>
    <mergeCell ref="AV921:AV923"/>
    <mergeCell ref="AW921:AW923"/>
    <mergeCell ref="AX921:AX923"/>
    <mergeCell ref="AY921:AY923"/>
    <mergeCell ref="AZ921:AZ923"/>
    <mergeCell ref="BA921:BA923"/>
    <mergeCell ref="AV924:AV926"/>
    <mergeCell ref="AW924:AW926"/>
    <mergeCell ref="AX924:AX926"/>
    <mergeCell ref="AY924:AY926"/>
    <mergeCell ref="AZ924:AZ926"/>
    <mergeCell ref="BA924:BA926"/>
    <mergeCell ref="AV927:AV928"/>
    <mergeCell ref="AW927:AW928"/>
    <mergeCell ref="AX927:AX928"/>
    <mergeCell ref="AY927:AY928"/>
    <mergeCell ref="AZ927:AZ928"/>
    <mergeCell ref="BA927:BA928"/>
    <mergeCell ref="AV929:AV930"/>
    <mergeCell ref="AW929:AW930"/>
    <mergeCell ref="AX929:AX930"/>
    <mergeCell ref="AY929:AY930"/>
    <mergeCell ref="AZ929:AZ930"/>
    <mergeCell ref="BA929:BA930"/>
    <mergeCell ref="AV931:AV932"/>
    <mergeCell ref="AW931:AW932"/>
    <mergeCell ref="AX931:AX932"/>
    <mergeCell ref="AY931:AY932"/>
    <mergeCell ref="AZ931:AZ932"/>
    <mergeCell ref="BA931:BA932"/>
    <mergeCell ref="AV933:AV934"/>
    <mergeCell ref="AW933:AW934"/>
    <mergeCell ref="AX933:AX934"/>
    <mergeCell ref="AY933:AY934"/>
    <mergeCell ref="AZ933:AZ934"/>
    <mergeCell ref="BA933:BA934"/>
    <mergeCell ref="AV935:AV936"/>
    <mergeCell ref="AW935:AW936"/>
    <mergeCell ref="AX935:AX936"/>
    <mergeCell ref="AY935:AY936"/>
    <mergeCell ref="AZ935:AZ936"/>
    <mergeCell ref="BA935:BA936"/>
    <mergeCell ref="AV937:AV938"/>
    <mergeCell ref="AW937:AW938"/>
    <mergeCell ref="AX937:AX938"/>
    <mergeCell ref="AY937:AY938"/>
    <mergeCell ref="AZ937:AZ938"/>
    <mergeCell ref="BA937:BA938"/>
    <mergeCell ref="BB140:BB141"/>
    <mergeCell ref="BB161:BB162"/>
    <mergeCell ref="BB166:BB167"/>
    <mergeCell ref="BB169:BB170"/>
    <mergeCell ref="BB172:BB173"/>
    <mergeCell ref="BB355:BB356"/>
    <mergeCell ref="BB357:BB358"/>
    <mergeCell ref="BB359:BB360"/>
    <mergeCell ref="BB361:BB362"/>
    <mergeCell ref="BB364:BB365"/>
    <mergeCell ref="BB366:BB367"/>
    <mergeCell ref="BB368:BB369"/>
    <mergeCell ref="BB527:BB528"/>
    <mergeCell ref="BB529:BB530"/>
    <mergeCell ref="BB531:BB532"/>
    <mergeCell ref="BB533:BB5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3149</v>
      </c>
      <c r="D2" s="0" t="s">
        <v>3150</v>
      </c>
      <c r="E2" s="0" t="s">
        <v>3151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3152</v>
      </c>
      <c r="J4" s="1" t="s">
        <v>3153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3154</v>
      </c>
      <c r="P4" s="1" t="s">
        <v>3155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3156</v>
      </c>
      <c r="F5" s="1" t="s">
        <v>3157</v>
      </c>
      <c r="G5" s="1" t="s">
        <v>3156</v>
      </c>
      <c r="H5" s="1" t="s">
        <v>3157</v>
      </c>
      <c r="I5" s="1" t="s">
        <v>3152</v>
      </c>
      <c r="J5" s="1" t="s">
        <v>3153</v>
      </c>
      <c r="K5" s="1" t="s">
        <v>3158</v>
      </c>
      <c r="L5" s="1" t="s">
        <v>3159</v>
      </c>
      <c r="M5" s="1" t="s">
        <v>3158</v>
      </c>
      <c r="N5" s="1" t="s">
        <v>3159</v>
      </c>
      <c r="O5" s="1" t="s">
        <v>3154</v>
      </c>
      <c r="P5" s="1" t="s">
        <v>3155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5057</v>
      </c>
      <c r="F6" s="8">
        <v>95805.56</v>
      </c>
      <c r="G6" s="4">
        <v>18348</v>
      </c>
      <c r="H6" s="8">
        <v>268971.29</v>
      </c>
      <c r="I6" s="7">
        <v>-0.7244</v>
      </c>
      <c r="J6" s="7">
        <v>-0.6438</v>
      </c>
      <c r="K6" s="4">
        <v>1665</v>
      </c>
      <c r="L6" s="8">
        <v>30164.98</v>
      </c>
      <c r="M6" s="4">
        <v>6473</v>
      </c>
      <c r="N6" s="8">
        <v>99381.53</v>
      </c>
      <c r="O6" s="7">
        <v>-0.7428</v>
      </c>
      <c r="P6" s="7">
        <v>-0.6965</v>
      </c>
    </row>
    <row r="7">
      <c r="A7" s="2" t="s">
        <v>86</v>
      </c>
      <c r="B7" s="2" t="s">
        <v>87</v>
      </c>
      <c r="C7" s="2" t="s">
        <v>88</v>
      </c>
      <c r="D7" s="2" t="s">
        <v>837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1102</v>
      </c>
      <c r="L7" s="8">
        <v>23248.53</v>
      </c>
      <c r="M7" s="4">
        <v>199</v>
      </c>
      <c r="N7" s="8">
        <v>5762.58</v>
      </c>
      <c r="O7" s="7">
        <v>4.5377</v>
      </c>
      <c r="P7" s="7">
        <v>3.0344</v>
      </c>
    </row>
    <row r="8">
      <c r="A8" s="2" t="s">
        <v>86</v>
      </c>
      <c r="B8" s="2" t="s">
        <v>87</v>
      </c>
      <c r="C8" s="2" t="s">
        <v>88</v>
      </c>
      <c r="D8" s="2" t="s">
        <v>1214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848</v>
      </c>
      <c r="L8" s="8">
        <v>13263.07</v>
      </c>
      <c r="M8" s="4">
        <v>8739</v>
      </c>
      <c r="N8" s="8">
        <v>108021.16</v>
      </c>
      <c r="O8" s="7">
        <v>-0.903</v>
      </c>
      <c r="P8" s="7">
        <v>-0.8772</v>
      </c>
    </row>
    <row r="9">
      <c r="A9" s="2" t="s">
        <v>86</v>
      </c>
      <c r="B9" s="2" t="s">
        <v>87</v>
      </c>
      <c r="C9" s="2" t="s">
        <v>88</v>
      </c>
      <c r="D9" s="2" t="s">
        <v>1465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667</v>
      </c>
      <c r="L9" s="8">
        <v>11344.67</v>
      </c>
      <c r="M9" s="4">
        <v>1026</v>
      </c>
      <c r="N9" s="8">
        <v>15325.97</v>
      </c>
      <c r="O9" s="7">
        <v>-0.3499</v>
      </c>
      <c r="P9" s="7">
        <v>-0.2598</v>
      </c>
    </row>
    <row r="10">
      <c r="A10" s="2" t="s">
        <v>86</v>
      </c>
      <c r="B10" s="2" t="s">
        <v>87</v>
      </c>
      <c r="C10" s="2" t="s">
        <v>88</v>
      </c>
      <c r="D10" s="2" t="s">
        <v>1597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429</v>
      </c>
      <c r="L10" s="8">
        <v>11173.15</v>
      </c>
      <c r="M10" s="4">
        <v>961</v>
      </c>
      <c r="N10" s="8">
        <v>24399.77</v>
      </c>
      <c r="O10" s="7">
        <v>-0.5536</v>
      </c>
      <c r="P10" s="7">
        <v>-0.5421</v>
      </c>
    </row>
    <row r="11">
      <c r="A11" s="2" t="s">
        <v>86</v>
      </c>
      <c r="B11" s="2" t="s">
        <v>87</v>
      </c>
      <c r="C11" s="2" t="s">
        <v>88</v>
      </c>
      <c r="D11" s="2" t="s">
        <v>1676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297</v>
      </c>
      <c r="L11" s="8">
        <v>5997.41</v>
      </c>
      <c r="M11" s="4">
        <v>865</v>
      </c>
      <c r="N11" s="8">
        <v>14235.77</v>
      </c>
      <c r="O11" s="7">
        <v>-0.6566</v>
      </c>
      <c r="P11" s="7">
        <v>-0.5787</v>
      </c>
    </row>
    <row r="12">
      <c r="A12" s="2" t="s">
        <v>86</v>
      </c>
      <c r="B12" s="2" t="s">
        <v>87</v>
      </c>
      <c r="C12" s="2" t="s">
        <v>88</v>
      </c>
      <c r="D12" s="2" t="s">
        <v>1727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49</v>
      </c>
      <c r="L12" s="8">
        <v>613.75</v>
      </c>
      <c r="M12" s="4">
        <v>85</v>
      </c>
      <c r="N12" s="8">
        <v>1844.51</v>
      </c>
      <c r="O12" s="7">
        <v>-0.4235</v>
      </c>
      <c r="P12" s="7">
        <v>-0.6673</v>
      </c>
    </row>
    <row r="13">
      <c r="A13" s="2" t="s">
        <v>86</v>
      </c>
      <c r="B13" s="2" t="s">
        <v>87</v>
      </c>
      <c r="C13" s="2" t="s">
        <v>1786</v>
      </c>
      <c r="D13" s="2" t="s">
        <v>1786</v>
      </c>
      <c r="E13" s="4">
        <v>1164</v>
      </c>
      <c r="F13" s="8">
        <v>15096.54</v>
      </c>
      <c r="G13" s="4">
        <v>4635</v>
      </c>
      <c r="H13" s="8">
        <v>48171.64</v>
      </c>
      <c r="I13" s="7">
        <v>-0.7489</v>
      </c>
      <c r="J13" s="7">
        <v>-0.6866</v>
      </c>
      <c r="K13" s="4">
        <v>1164</v>
      </c>
      <c r="L13" s="8">
        <v>15096.54</v>
      </c>
      <c r="M13" s="4">
        <v>4635</v>
      </c>
      <c r="N13" s="8">
        <v>48171.64</v>
      </c>
      <c r="O13" s="7">
        <v>-0.7489</v>
      </c>
      <c r="P13" s="7">
        <v>-0.6866</v>
      </c>
    </row>
    <row r="14">
      <c r="A14" s="2" t="s">
        <v>86</v>
      </c>
      <c r="B14" s="2" t="s">
        <v>87</v>
      </c>
      <c r="C14" s="2" t="s">
        <v>1975</v>
      </c>
      <c r="D14" s="2" t="s">
        <v>1976</v>
      </c>
      <c r="E14" s="4">
        <v>22</v>
      </c>
      <c r="F14" s="8">
        <v>215.59</v>
      </c>
      <c r="G14" s="4">
        <v>47</v>
      </c>
      <c r="H14" s="8">
        <v>511.4</v>
      </c>
      <c r="I14" s="7">
        <v>-0.5319</v>
      </c>
      <c r="J14" s="7">
        <v>-0.5784</v>
      </c>
      <c r="K14" s="4">
        <v>22</v>
      </c>
      <c r="L14" s="8">
        <v>215.59</v>
      </c>
      <c r="M14" s="4">
        <v>47</v>
      </c>
      <c r="N14" s="8">
        <v>511.4</v>
      </c>
      <c r="O14" s="7">
        <v>-0.5319</v>
      </c>
      <c r="P14" s="7">
        <v>-0.5784</v>
      </c>
    </row>
    <row r="15">
      <c r="A15" s="2" t="s">
        <v>86</v>
      </c>
      <c r="B15" s="2" t="s">
        <v>87</v>
      </c>
      <c r="C15" s="2" t="s">
        <v>1984</v>
      </c>
      <c r="D15" s="2" t="s">
        <v>1985</v>
      </c>
      <c r="E15" s="4" t="s">
        <v>98</v>
      </c>
      <c r="F15" s="8" t="s">
        <v>98</v>
      </c>
      <c r="G15" s="4">
        <v>7</v>
      </c>
      <c r="H15" s="8">
        <v>199.63</v>
      </c>
      <c r="I15" s="7" t="s">
        <v>98</v>
      </c>
      <c r="J15" s="7" t="s">
        <v>98</v>
      </c>
      <c r="K15" s="4"/>
      <c r="L15" s="8"/>
      <c r="M15" s="4">
        <v>2</v>
      </c>
      <c r="N15" s="8">
        <v>28.18</v>
      </c>
      <c r="O15" s="7"/>
      <c r="P15" s="7"/>
    </row>
    <row r="16">
      <c r="A16" s="2" t="s">
        <v>86</v>
      </c>
      <c r="B16" s="2" t="s">
        <v>87</v>
      </c>
      <c r="C16" s="2" t="s">
        <v>1984</v>
      </c>
      <c r="D16" s="2" t="s">
        <v>1991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>
        <v>5</v>
      </c>
      <c r="N16" s="8">
        <v>171.45</v>
      </c>
      <c r="O16" s="7"/>
      <c r="P16" s="7"/>
    </row>
    <row r="17">
      <c r="A17" s="2" t="s">
        <v>86</v>
      </c>
      <c r="B17" s="2" t="s">
        <v>87</v>
      </c>
      <c r="C17" s="2" t="s">
        <v>2002</v>
      </c>
      <c r="D17" s="2" t="s">
        <v>2003</v>
      </c>
      <c r="E17" s="4" t="s">
        <v>98</v>
      </c>
      <c r="F17" s="8" t="s">
        <v>98</v>
      </c>
      <c r="G17" s="4">
        <v>994</v>
      </c>
      <c r="H17" s="8">
        <v>16932.08</v>
      </c>
      <c r="I17" s="7" t="s">
        <v>98</v>
      </c>
      <c r="J17" s="7" t="s">
        <v>98</v>
      </c>
      <c r="K17" s="4"/>
      <c r="L17" s="8"/>
      <c r="M17" s="4">
        <v>958</v>
      </c>
      <c r="N17" s="8">
        <v>16513.76</v>
      </c>
      <c r="O17" s="7"/>
      <c r="P17" s="7"/>
    </row>
    <row r="18">
      <c r="A18" s="2" t="s">
        <v>86</v>
      </c>
      <c r="B18" s="2" t="s">
        <v>87</v>
      </c>
      <c r="C18" s="2" t="s">
        <v>2002</v>
      </c>
      <c r="D18" s="2" t="s">
        <v>2080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>
        <v>36</v>
      </c>
      <c r="N18" s="8">
        <v>418.32</v>
      </c>
      <c r="O18" s="7"/>
      <c r="P18" s="7"/>
    </row>
    <row r="19">
      <c r="A19" s="2" t="s">
        <v>86</v>
      </c>
      <c r="B19" s="2" t="s">
        <v>2106</v>
      </c>
      <c r="C19" s="2" t="s">
        <v>88</v>
      </c>
      <c r="D19" s="2" t="s">
        <v>88</v>
      </c>
      <c r="E19" s="4">
        <v>3167</v>
      </c>
      <c r="F19" s="8">
        <v>61066</v>
      </c>
      <c r="G19" s="4">
        <v>6774</v>
      </c>
      <c r="H19" s="8">
        <v>104986.9</v>
      </c>
      <c r="I19" s="7">
        <v>-0.5325</v>
      </c>
      <c r="J19" s="7">
        <v>-0.4183</v>
      </c>
      <c r="K19" s="4">
        <v>2977</v>
      </c>
      <c r="L19" s="8">
        <v>57195.09</v>
      </c>
      <c r="M19" s="4">
        <v>6240</v>
      </c>
      <c r="N19" s="8">
        <v>97687.1</v>
      </c>
      <c r="O19" s="7">
        <v>-0.5229</v>
      </c>
      <c r="P19" s="7">
        <v>-0.4145</v>
      </c>
    </row>
    <row r="20">
      <c r="A20" s="2" t="s">
        <v>86</v>
      </c>
      <c r="B20" s="2" t="s">
        <v>2106</v>
      </c>
      <c r="C20" s="2" t="s">
        <v>88</v>
      </c>
      <c r="D20" s="2" t="s">
        <v>1597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190</v>
      </c>
      <c r="L20" s="8">
        <v>3870.91</v>
      </c>
      <c r="M20" s="4">
        <v>534</v>
      </c>
      <c r="N20" s="8">
        <v>7299.8</v>
      </c>
      <c r="O20" s="7">
        <v>-0.6442</v>
      </c>
      <c r="P20" s="7">
        <v>-0.4697</v>
      </c>
    </row>
    <row r="21">
      <c r="A21" s="2" t="s">
        <v>86</v>
      </c>
      <c r="B21" s="2" t="s">
        <v>2106</v>
      </c>
      <c r="C21" s="2" t="s">
        <v>1786</v>
      </c>
      <c r="D21" s="2" t="s">
        <v>1786</v>
      </c>
      <c r="E21" s="4">
        <v>61</v>
      </c>
      <c r="F21" s="8">
        <v>1159</v>
      </c>
      <c r="G21" s="4">
        <v>166</v>
      </c>
      <c r="H21" s="8">
        <v>2592.92</v>
      </c>
      <c r="I21" s="7">
        <v>-0.6325</v>
      </c>
      <c r="J21" s="7">
        <v>-0.553</v>
      </c>
      <c r="K21" s="4">
        <v>61</v>
      </c>
      <c r="L21" s="8">
        <v>1159</v>
      </c>
      <c r="M21" s="4">
        <v>166</v>
      </c>
      <c r="N21" s="8">
        <v>2592.92</v>
      </c>
      <c r="O21" s="7">
        <v>-0.6325</v>
      </c>
      <c r="P21" s="7">
        <v>-0.553</v>
      </c>
    </row>
    <row r="22">
      <c r="A22" s="2" t="s">
        <v>86</v>
      </c>
      <c r="B22" s="2" t="s">
        <v>2604</v>
      </c>
      <c r="C22" s="2" t="s">
        <v>88</v>
      </c>
      <c r="D22" s="2" t="s">
        <v>88</v>
      </c>
      <c r="E22" s="4">
        <v>416</v>
      </c>
      <c r="F22" s="8">
        <v>7427.43</v>
      </c>
      <c r="G22" s="4">
        <v>3235</v>
      </c>
      <c r="H22" s="8">
        <v>53561.07</v>
      </c>
      <c r="I22" s="7">
        <v>-0.8714</v>
      </c>
      <c r="J22" s="7">
        <v>-0.8613</v>
      </c>
      <c r="K22" s="4">
        <v>354</v>
      </c>
      <c r="L22" s="8">
        <v>6639.54</v>
      </c>
      <c r="M22" s="4">
        <v>3178</v>
      </c>
      <c r="N22" s="8">
        <v>52438.44</v>
      </c>
      <c r="O22" s="7">
        <v>-0.8886</v>
      </c>
      <c r="P22" s="7">
        <v>-0.8734</v>
      </c>
    </row>
    <row r="23">
      <c r="A23" s="2" t="s">
        <v>86</v>
      </c>
      <c r="B23" s="2" t="s">
        <v>2604</v>
      </c>
      <c r="C23" s="2" t="s">
        <v>88</v>
      </c>
      <c r="D23" s="2" t="s">
        <v>1597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62</v>
      </c>
      <c r="L23" s="8">
        <v>787.89</v>
      </c>
      <c r="M23" s="4">
        <v>57</v>
      </c>
      <c r="N23" s="8">
        <v>1122.63</v>
      </c>
      <c r="O23" s="7">
        <v>0.0877</v>
      </c>
      <c r="P23" s="7">
        <v>-0.2982</v>
      </c>
    </row>
    <row r="24">
      <c r="A24" s="2" t="s">
        <v>86</v>
      </c>
      <c r="B24" s="2" t="s">
        <v>2604</v>
      </c>
      <c r="C24" s="2" t="s">
        <v>1984</v>
      </c>
      <c r="D24" s="2" t="s">
        <v>2783</v>
      </c>
      <c r="E24" s="4">
        <v>164</v>
      </c>
      <c r="F24" s="8">
        <v>3340.36</v>
      </c>
      <c r="G24" s="4">
        <v>2721</v>
      </c>
      <c r="H24" s="8">
        <v>42575.37</v>
      </c>
      <c r="I24" s="7">
        <v>-0.9397</v>
      </c>
      <c r="J24" s="7">
        <v>-0.9215</v>
      </c>
      <c r="K24" s="4">
        <v>126</v>
      </c>
      <c r="L24" s="8">
        <v>2575.8</v>
      </c>
      <c r="M24" s="4">
        <v>2721</v>
      </c>
      <c r="N24" s="8">
        <v>42575.37</v>
      </c>
      <c r="O24" s="7">
        <v>-0.9537</v>
      </c>
      <c r="P24" s="7">
        <v>-0.9395</v>
      </c>
    </row>
    <row r="25">
      <c r="A25" s="2" t="s">
        <v>86</v>
      </c>
      <c r="B25" s="2" t="s">
        <v>2604</v>
      </c>
      <c r="C25" s="2" t="s">
        <v>1984</v>
      </c>
      <c r="D25" s="2" t="s">
        <v>2830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38</v>
      </c>
      <c r="L25" s="8">
        <v>764.56</v>
      </c>
      <c r="M25" s="4"/>
      <c r="N25" s="8"/>
      <c r="O25" s="7"/>
      <c r="P25" s="7"/>
    </row>
    <row r="26">
      <c r="A26" s="2" t="s">
        <v>86</v>
      </c>
      <c r="B26" s="2" t="s">
        <v>2843</v>
      </c>
      <c r="C26" s="2" t="s">
        <v>88</v>
      </c>
      <c r="D26" s="2" t="s">
        <v>88</v>
      </c>
      <c r="E26" s="4">
        <v>306</v>
      </c>
      <c r="F26" s="8">
        <v>8548.87</v>
      </c>
      <c r="G26" s="4"/>
      <c r="H26" s="8"/>
      <c r="I26" s="7"/>
      <c r="J26" s="7"/>
      <c r="K26" s="4">
        <v>306</v>
      </c>
      <c r="L26" s="8">
        <v>8548.87</v>
      </c>
      <c r="M26" s="4"/>
      <c r="N26" s="8"/>
      <c r="O26" s="7"/>
      <c r="P26" s="7"/>
    </row>
    <row r="27">
      <c r="A27" s="2" t="s">
        <v>86</v>
      </c>
      <c r="B27" s="2" t="s">
        <v>2843</v>
      </c>
      <c r="C27" s="2" t="s">
        <v>2002</v>
      </c>
      <c r="D27" s="2" t="s">
        <v>2003</v>
      </c>
      <c r="E27" s="4"/>
      <c r="F27" s="8"/>
      <c r="G27" s="4">
        <v>244</v>
      </c>
      <c r="H27" s="8">
        <v>3783.32</v>
      </c>
      <c r="I27" s="7"/>
      <c r="J27" s="7"/>
      <c r="K27" s="4"/>
      <c r="L27" s="8"/>
      <c r="M27" s="4">
        <v>244</v>
      </c>
      <c r="N27" s="8">
        <v>3783.32</v>
      </c>
      <c r="O27" s="7"/>
      <c r="P27" s="7"/>
    </row>
    <row r="28">
      <c r="A28" s="2" t="s">
        <v>86</v>
      </c>
      <c r="B28" s="2" t="s">
        <v>2909</v>
      </c>
      <c r="C28" s="2" t="s">
        <v>88</v>
      </c>
      <c r="D28" s="2" t="s">
        <v>1597</v>
      </c>
      <c r="E28" s="4">
        <v>202</v>
      </c>
      <c r="F28" s="8">
        <v>3340.44</v>
      </c>
      <c r="G28" s="4"/>
      <c r="H28" s="8"/>
      <c r="I28" s="7"/>
      <c r="J28" s="7"/>
      <c r="K28" s="4">
        <v>202</v>
      </c>
      <c r="L28" s="8">
        <v>3340.44</v>
      </c>
      <c r="M28" s="4"/>
      <c r="N28" s="8"/>
      <c r="O28" s="7"/>
      <c r="P28" s="7"/>
    </row>
    <row r="29">
      <c r="A29" s="2" t="s">
        <v>86</v>
      </c>
      <c r="B29" s="2" t="s">
        <v>2944</v>
      </c>
      <c r="C29" s="2" t="s">
        <v>88</v>
      </c>
      <c r="D29" s="2" t="s">
        <v>1597</v>
      </c>
      <c r="E29" s="4">
        <v>90</v>
      </c>
      <c r="F29" s="8">
        <v>1967.5</v>
      </c>
      <c r="G29" s="4">
        <v>164</v>
      </c>
      <c r="H29" s="8">
        <v>3065.92</v>
      </c>
      <c r="I29" s="7">
        <v>-0.4512</v>
      </c>
      <c r="J29" s="7">
        <v>-0.3583</v>
      </c>
      <c r="K29" s="4">
        <v>90</v>
      </c>
      <c r="L29" s="8">
        <v>1967.5</v>
      </c>
      <c r="M29" s="4">
        <v>164</v>
      </c>
      <c r="N29" s="8">
        <v>3065.92</v>
      </c>
      <c r="O29" s="7">
        <v>-0.4512</v>
      </c>
      <c r="P29" s="7">
        <v>-0.3583</v>
      </c>
    </row>
    <row r="30">
      <c r="A30" s="2" t="s">
        <v>86</v>
      </c>
      <c r="B30" s="2" t="s">
        <v>2996</v>
      </c>
      <c r="C30" s="2" t="s">
        <v>88</v>
      </c>
      <c r="D30" s="2" t="s">
        <v>88</v>
      </c>
      <c r="E30" s="4">
        <v>50</v>
      </c>
      <c r="F30" s="8">
        <v>891.6</v>
      </c>
      <c r="G30" s="4">
        <v>111</v>
      </c>
      <c r="H30" s="8">
        <v>1482.93</v>
      </c>
      <c r="I30" s="7">
        <v>-0.5495</v>
      </c>
      <c r="J30" s="7">
        <v>-0.3988</v>
      </c>
      <c r="K30" s="4">
        <v>50</v>
      </c>
      <c r="L30" s="8">
        <v>891.6</v>
      </c>
      <c r="M30" s="4">
        <v>111</v>
      </c>
      <c r="N30" s="8">
        <v>1482.93</v>
      </c>
      <c r="O30" s="7">
        <v>-0.5495</v>
      </c>
      <c r="P30" s="7">
        <v>-0.3988</v>
      </c>
    </row>
    <row r="31">
      <c r="A31" s="2" t="s">
        <v>86</v>
      </c>
      <c r="B31" s="2" t="s">
        <v>3016</v>
      </c>
      <c r="C31" s="2" t="s">
        <v>88</v>
      </c>
      <c r="D31" s="2" t="s">
        <v>88</v>
      </c>
      <c r="E31" s="4">
        <v>53</v>
      </c>
      <c r="F31" s="8">
        <v>739.75</v>
      </c>
      <c r="G31" s="4">
        <v>192</v>
      </c>
      <c r="H31" s="8">
        <v>3213.61</v>
      </c>
      <c r="I31" s="7">
        <v>-0.724</v>
      </c>
      <c r="J31" s="7">
        <v>-0.7698</v>
      </c>
      <c r="K31" s="4">
        <v>53</v>
      </c>
      <c r="L31" s="8">
        <v>739.75</v>
      </c>
      <c r="M31" s="4">
        <v>192</v>
      </c>
      <c r="N31" s="8">
        <v>3213.61</v>
      </c>
      <c r="O31" s="7">
        <v>-0.724</v>
      </c>
      <c r="P31" s="7">
        <v>-0.7698</v>
      </c>
    </row>
    <row r="32">
      <c r="A32" s="2" t="s">
        <v>86</v>
      </c>
      <c r="B32" s="2" t="s">
        <v>3016</v>
      </c>
      <c r="C32" s="2" t="s">
        <v>1786</v>
      </c>
      <c r="D32" s="2" t="s">
        <v>1786</v>
      </c>
      <c r="E32" s="4">
        <v>14</v>
      </c>
      <c r="F32" s="8">
        <v>94.5</v>
      </c>
      <c r="G32" s="4">
        <v>118</v>
      </c>
      <c r="H32" s="8">
        <v>1340.28</v>
      </c>
      <c r="I32" s="7">
        <v>-0.8814</v>
      </c>
      <c r="J32" s="7">
        <v>-0.9295</v>
      </c>
      <c r="K32" s="4">
        <v>14</v>
      </c>
      <c r="L32" s="8">
        <v>94.5</v>
      </c>
      <c r="M32" s="4">
        <v>118</v>
      </c>
      <c r="N32" s="8">
        <v>1340.28</v>
      </c>
      <c r="O32" s="7">
        <v>-0.8814</v>
      </c>
      <c r="P32" s="7">
        <v>-0.9295</v>
      </c>
    </row>
    <row r="33">
      <c r="A33" s="2" t="s">
        <v>86</v>
      </c>
      <c r="B33" s="2" t="s">
        <v>3016</v>
      </c>
      <c r="C33" s="2" t="s">
        <v>1984</v>
      </c>
      <c r="D33" s="2" t="s">
        <v>2783</v>
      </c>
      <c r="E33" s="4"/>
      <c r="F33" s="8"/>
      <c r="G33" s="4">
        <v>109</v>
      </c>
      <c r="H33" s="8">
        <v>1912.95</v>
      </c>
      <c r="I33" s="7"/>
      <c r="J33" s="7"/>
      <c r="K33" s="4"/>
      <c r="L33" s="8"/>
      <c r="M33" s="4">
        <v>109</v>
      </c>
      <c r="N33" s="8">
        <v>1912.95</v>
      </c>
      <c r="O33" s="7"/>
      <c r="P33" s="7"/>
    </row>
    <row r="34">
      <c r="A34" s="2" t="s">
        <v>86</v>
      </c>
      <c r="B34" s="2" t="s">
        <v>3016</v>
      </c>
      <c r="C34" s="2" t="s">
        <v>2002</v>
      </c>
      <c r="D34" s="2" t="s">
        <v>2003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3075</v>
      </c>
      <c r="C35" s="2" t="s">
        <v>88</v>
      </c>
      <c r="D35" s="2" t="s">
        <v>88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3085</v>
      </c>
      <c r="C36" s="2" t="s">
        <v>88</v>
      </c>
      <c r="D36" s="2" t="s">
        <v>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3114</v>
      </c>
      <c r="C37" s="2" t="s">
        <v>88</v>
      </c>
      <c r="D37" s="2" t="s">
        <v>88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3121</v>
      </c>
      <c r="C38" s="2" t="s">
        <v>2002</v>
      </c>
      <c r="D38" s="2" t="s">
        <v>3121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3134</v>
      </c>
      <c r="C39" s="2" t="s">
        <v>88</v>
      </c>
      <c r="D39" s="2" t="s">
        <v>3121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3149</v>
      </c>
      <c r="D2" s="0" t="s">
        <v>3150</v>
      </c>
      <c r="E2" s="0" t="s">
        <v>3151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3152</v>
      </c>
      <c r="I4" s="1" t="s">
        <v>3153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3154</v>
      </c>
      <c r="O4" s="1" t="s">
        <v>3155</v>
      </c>
    </row>
    <row r="5">
      <c r="A5" s="1" t="s">
        <v>51</v>
      </c>
      <c r="B5" s="1" t="s">
        <v>53</v>
      </c>
      <c r="C5" s="1" t="s">
        <v>54</v>
      </c>
      <c r="D5" s="1" t="s">
        <v>3156</v>
      </c>
      <c r="E5" s="1" t="s">
        <v>3157</v>
      </c>
      <c r="F5" s="1" t="s">
        <v>3156</v>
      </c>
      <c r="G5" s="1" t="s">
        <v>3157</v>
      </c>
      <c r="H5" s="1" t="s">
        <v>3152</v>
      </c>
      <c r="I5" s="1" t="s">
        <v>3153</v>
      </c>
      <c r="J5" s="1" t="s">
        <v>3158</v>
      </c>
      <c r="K5" s="1" t="s">
        <v>3159</v>
      </c>
      <c r="L5" s="1" t="s">
        <v>3158</v>
      </c>
      <c r="M5" s="1" t="s">
        <v>3159</v>
      </c>
      <c r="N5" s="1" t="s">
        <v>3154</v>
      </c>
      <c r="O5" s="1" t="s">
        <v>3155</v>
      </c>
    </row>
    <row r="6">
      <c r="A6" s="2" t="s">
        <v>86</v>
      </c>
      <c r="B6" s="2" t="s">
        <v>88</v>
      </c>
      <c r="C6" s="2" t="s">
        <v>88</v>
      </c>
      <c r="D6" s="4">
        <v>9341</v>
      </c>
      <c r="E6" s="8">
        <v>179787.15</v>
      </c>
      <c r="F6" s="4">
        <v>28824</v>
      </c>
      <c r="G6" s="8">
        <v>435281.72</v>
      </c>
      <c r="H6" s="7">
        <v>-0.6759</v>
      </c>
      <c r="I6" s="7">
        <v>-0.587</v>
      </c>
      <c r="J6" s="4">
        <v>5405</v>
      </c>
      <c r="K6" s="8">
        <v>104179.83</v>
      </c>
      <c r="L6" s="4">
        <v>16194</v>
      </c>
      <c r="M6" s="8">
        <v>254203.61</v>
      </c>
      <c r="N6" s="7">
        <v>-0.6662</v>
      </c>
      <c r="O6" s="7">
        <v>-0.5902</v>
      </c>
    </row>
    <row r="7">
      <c r="A7" s="2" t="s">
        <v>86</v>
      </c>
      <c r="B7" s="2" t="s">
        <v>88</v>
      </c>
      <c r="C7" s="2" t="s">
        <v>837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1102</v>
      </c>
      <c r="K7" s="8">
        <v>23248.53</v>
      </c>
      <c r="L7" s="4">
        <v>199</v>
      </c>
      <c r="M7" s="8">
        <v>5762.58</v>
      </c>
      <c r="N7" s="7">
        <v>4.5377</v>
      </c>
      <c r="O7" s="7">
        <v>3.0344</v>
      </c>
    </row>
    <row r="8">
      <c r="A8" s="2" t="s">
        <v>86</v>
      </c>
      <c r="B8" s="2" t="s">
        <v>88</v>
      </c>
      <c r="C8" s="2" t="s">
        <v>1597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973</v>
      </c>
      <c r="K8" s="8">
        <v>21139.89</v>
      </c>
      <c r="L8" s="4">
        <v>1716</v>
      </c>
      <c r="M8" s="8">
        <v>35888.12</v>
      </c>
      <c r="N8" s="7">
        <v>-0.433</v>
      </c>
      <c r="O8" s="7">
        <v>-0.411</v>
      </c>
    </row>
    <row r="9">
      <c r="A9" s="2" t="s">
        <v>86</v>
      </c>
      <c r="B9" s="2" t="s">
        <v>88</v>
      </c>
      <c r="C9" s="2" t="s">
        <v>1214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848</v>
      </c>
      <c r="K9" s="8">
        <v>13263.07</v>
      </c>
      <c r="L9" s="4">
        <v>8739</v>
      </c>
      <c r="M9" s="8">
        <v>108021.16</v>
      </c>
      <c r="N9" s="7">
        <v>-0.903</v>
      </c>
      <c r="O9" s="7">
        <v>-0.8772</v>
      </c>
    </row>
    <row r="10">
      <c r="A10" s="2" t="s">
        <v>86</v>
      </c>
      <c r="B10" s="2" t="s">
        <v>88</v>
      </c>
      <c r="C10" s="2" t="s">
        <v>1465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667</v>
      </c>
      <c r="K10" s="8">
        <v>11344.67</v>
      </c>
      <c r="L10" s="4">
        <v>1026</v>
      </c>
      <c r="M10" s="8">
        <v>15325.97</v>
      </c>
      <c r="N10" s="7">
        <v>-0.3499</v>
      </c>
      <c r="O10" s="7">
        <v>-0.2598</v>
      </c>
    </row>
    <row r="11">
      <c r="A11" s="2" t="s">
        <v>86</v>
      </c>
      <c r="B11" s="2" t="s">
        <v>88</v>
      </c>
      <c r="C11" s="2" t="s">
        <v>1676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297</v>
      </c>
      <c r="K11" s="8">
        <v>5997.41</v>
      </c>
      <c r="L11" s="4">
        <v>865</v>
      </c>
      <c r="M11" s="8">
        <v>14235.77</v>
      </c>
      <c r="N11" s="7">
        <v>-0.6566</v>
      </c>
      <c r="O11" s="7">
        <v>-0.5787</v>
      </c>
    </row>
    <row r="12">
      <c r="A12" s="2" t="s">
        <v>86</v>
      </c>
      <c r="B12" s="2" t="s">
        <v>88</v>
      </c>
      <c r="C12" s="2" t="s">
        <v>1727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49</v>
      </c>
      <c r="K12" s="8">
        <v>613.75</v>
      </c>
      <c r="L12" s="4">
        <v>85</v>
      </c>
      <c r="M12" s="8">
        <v>1844.51</v>
      </c>
      <c r="N12" s="7">
        <v>-0.4235</v>
      </c>
      <c r="O12" s="7">
        <v>-0.6673</v>
      </c>
    </row>
    <row r="13">
      <c r="A13" s="2" t="s">
        <v>86</v>
      </c>
      <c r="B13" s="2" t="s">
        <v>88</v>
      </c>
      <c r="C13" s="2" t="s">
        <v>3121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1786</v>
      </c>
      <c r="C14" s="2" t="s">
        <v>1786</v>
      </c>
      <c r="D14" s="4">
        <v>1239</v>
      </c>
      <c r="E14" s="8">
        <v>16350.04</v>
      </c>
      <c r="F14" s="4">
        <v>4919</v>
      </c>
      <c r="G14" s="8">
        <v>52104.84</v>
      </c>
      <c r="H14" s="7">
        <v>-0.7481</v>
      </c>
      <c r="I14" s="7">
        <v>-0.6862</v>
      </c>
      <c r="J14" s="4">
        <v>1239</v>
      </c>
      <c r="K14" s="8">
        <v>16350.04</v>
      </c>
      <c r="L14" s="4">
        <v>4919</v>
      </c>
      <c r="M14" s="8">
        <v>52104.84</v>
      </c>
      <c r="N14" s="7">
        <v>-0.7481</v>
      </c>
      <c r="O14" s="7">
        <v>-0.6862</v>
      </c>
    </row>
    <row r="15">
      <c r="A15" s="2" t="s">
        <v>86</v>
      </c>
      <c r="B15" s="2" t="s">
        <v>1984</v>
      </c>
      <c r="C15" s="2" t="s">
        <v>2783</v>
      </c>
      <c r="D15" s="4">
        <v>164</v>
      </c>
      <c r="E15" s="8">
        <v>3340.36</v>
      </c>
      <c r="F15" s="4">
        <v>2837</v>
      </c>
      <c r="G15" s="8">
        <v>44687.95</v>
      </c>
      <c r="H15" s="7">
        <v>-0.9422</v>
      </c>
      <c r="I15" s="7">
        <v>-0.9253</v>
      </c>
      <c r="J15" s="4">
        <v>126</v>
      </c>
      <c r="K15" s="8">
        <v>2575.8</v>
      </c>
      <c r="L15" s="4">
        <v>2830</v>
      </c>
      <c r="M15" s="8">
        <v>44488.32</v>
      </c>
      <c r="N15" s="7">
        <v>-0.9555</v>
      </c>
      <c r="O15" s="7">
        <v>-0.9421</v>
      </c>
    </row>
    <row r="16">
      <c r="A16" s="2" t="s">
        <v>86</v>
      </c>
      <c r="B16" s="2" t="s">
        <v>1984</v>
      </c>
      <c r="C16" s="2" t="s">
        <v>2830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38</v>
      </c>
      <c r="K16" s="8">
        <v>764.56</v>
      </c>
      <c r="L16" s="4"/>
      <c r="M16" s="8"/>
      <c r="N16" s="7"/>
      <c r="O16" s="7"/>
    </row>
    <row r="17">
      <c r="A17" s="2" t="s">
        <v>86</v>
      </c>
      <c r="B17" s="2" t="s">
        <v>1984</v>
      </c>
      <c r="C17" s="2" t="s">
        <v>1985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>
        <v>2</v>
      </c>
      <c r="M17" s="8">
        <v>28.18</v>
      </c>
      <c r="N17" s="7"/>
      <c r="O17" s="7"/>
    </row>
    <row r="18">
      <c r="A18" s="2" t="s">
        <v>86</v>
      </c>
      <c r="B18" s="2" t="s">
        <v>1984</v>
      </c>
      <c r="C18" s="2" t="s">
        <v>1991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/>
      <c r="K18" s="8"/>
      <c r="L18" s="4">
        <v>5</v>
      </c>
      <c r="M18" s="8">
        <v>171.45</v>
      </c>
      <c r="N18" s="7"/>
      <c r="O18" s="7"/>
    </row>
    <row r="19">
      <c r="A19" s="2" t="s">
        <v>86</v>
      </c>
      <c r="B19" s="2" t="s">
        <v>1975</v>
      </c>
      <c r="C19" s="2" t="s">
        <v>1976</v>
      </c>
      <c r="D19" s="4">
        <v>22</v>
      </c>
      <c r="E19" s="8">
        <v>215.59</v>
      </c>
      <c r="F19" s="4">
        <v>47</v>
      </c>
      <c r="G19" s="8">
        <v>511.4</v>
      </c>
      <c r="H19" s="7">
        <v>-0.5319</v>
      </c>
      <c r="I19" s="7">
        <v>-0.5784</v>
      </c>
      <c r="J19" s="4">
        <v>22</v>
      </c>
      <c r="K19" s="8">
        <v>215.59</v>
      </c>
      <c r="L19" s="4">
        <v>47</v>
      </c>
      <c r="M19" s="8">
        <v>511.4</v>
      </c>
      <c r="N19" s="7">
        <v>-0.5319</v>
      </c>
      <c r="O19" s="7">
        <v>-0.5784</v>
      </c>
    </row>
    <row r="20">
      <c r="A20" s="2" t="s">
        <v>86</v>
      </c>
      <c r="B20" s="2" t="s">
        <v>2002</v>
      </c>
      <c r="C20" s="2" t="s">
        <v>3121</v>
      </c>
      <c r="D20" s="4" t="s">
        <v>98</v>
      </c>
      <c r="E20" s="8" t="s">
        <v>98</v>
      </c>
      <c r="F20" s="4">
        <v>1238</v>
      </c>
      <c r="G20" s="8">
        <v>20715.4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  <row r="21">
      <c r="A21" s="2" t="s">
        <v>86</v>
      </c>
      <c r="B21" s="2" t="s">
        <v>2002</v>
      </c>
      <c r="C21" s="2" t="s">
        <v>2003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/>
      <c r="K21" s="8"/>
      <c r="L21" s="4">
        <v>1202</v>
      </c>
      <c r="M21" s="8">
        <v>20297.08</v>
      </c>
      <c r="N21" s="7"/>
      <c r="O21" s="7"/>
    </row>
    <row r="22">
      <c r="A22" s="2" t="s">
        <v>86</v>
      </c>
      <c r="B22" s="2" t="s">
        <v>2002</v>
      </c>
      <c r="C22" s="2" t="s">
        <v>2080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>
        <v>36</v>
      </c>
      <c r="M22" s="8">
        <v>418.32</v>
      </c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5:D18"/>
    <mergeCell ref="E15:E18"/>
    <mergeCell ref="F15:F18"/>
    <mergeCell ref="G15:G18"/>
    <mergeCell ref="H15:H18"/>
    <mergeCell ref="I15:I18"/>
    <mergeCell ref="D20:D22"/>
    <mergeCell ref="E20:E22"/>
    <mergeCell ref="F20:F22"/>
    <mergeCell ref="G20:G22"/>
    <mergeCell ref="H20:H22"/>
    <mergeCell ref="I20:I22"/>
  </mergeCells>
  <headerFooter/>
</worksheet>
</file>