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" i="5" l="1"/>
  <c r="AQ5" i="5" s="1"/>
  <c r="AP4" i="5"/>
  <c r="AQ4" i="5" s="1"/>
  <c r="AP3" i="5"/>
  <c r="AP2" i="5"/>
  <c r="BT5" i="5"/>
  <c r="BS5" i="5" s="1"/>
  <c r="BK5" i="5"/>
  <c r="BI5" i="5"/>
  <c r="BE5" i="5" s="1"/>
  <c r="AS5" i="5"/>
  <c r="AT5" i="5" s="1"/>
  <c r="AZ5" i="5" s="1"/>
  <c r="AE5" i="5"/>
  <c r="AL5" i="5" s="1"/>
  <c r="AN5" i="5" s="1"/>
  <c r="V5" i="5"/>
  <c r="U5" i="5"/>
  <c r="BT4" i="5"/>
  <c r="BS4" i="5" s="1"/>
  <c r="BK4" i="5"/>
  <c r="BI4" i="5"/>
  <c r="BE4" i="5" s="1"/>
  <c r="AS4" i="5"/>
  <c r="AT4" i="5" s="1"/>
  <c r="AZ4" i="5" s="1"/>
  <c r="AE4" i="5"/>
  <c r="AL4" i="5" s="1"/>
  <c r="AN4" i="5" s="1"/>
  <c r="V4" i="5"/>
  <c r="U4" i="5"/>
  <c r="BK2" i="5"/>
  <c r="AR5" i="5" l="1"/>
  <c r="AR4" i="5"/>
  <c r="AV5" i="5"/>
  <c r="AV4" i="5"/>
  <c r="AX4" i="5"/>
  <c r="BR5" i="5"/>
  <c r="BR4" i="5"/>
  <c r="BB4" i="5"/>
  <c r="AX5" i="5"/>
  <c r="BB5" i="5"/>
  <c r="BT3" i="5"/>
  <c r="BS3" i="5" s="1"/>
  <c r="BK3" i="5"/>
  <c r="BI3" i="5"/>
  <c r="BE3" i="5" s="1"/>
  <c r="AS3" i="5"/>
  <c r="AT3" i="5" s="1"/>
  <c r="AZ3" i="5" s="1"/>
  <c r="AQ3" i="5"/>
  <c r="AE3" i="5"/>
  <c r="AL3" i="5" s="1"/>
  <c r="AN3" i="5" s="1"/>
  <c r="V3" i="5"/>
  <c r="U3" i="5"/>
  <c r="U2" i="5"/>
  <c r="BU5" i="5" l="1"/>
  <c r="BU4" i="5"/>
  <c r="BV4" i="5"/>
  <c r="BF4" i="5"/>
  <c r="BG4" i="5" s="1"/>
  <c r="BF5" i="5"/>
  <c r="BG5" i="5" s="1"/>
  <c r="BV5" i="5"/>
  <c r="AV3" i="5"/>
  <c r="AX3" i="5"/>
  <c r="AR3" i="5"/>
  <c r="BR3" i="5"/>
  <c r="BB3" i="5"/>
  <c r="AS2" i="5"/>
  <c r="AT2" i="5" s="1"/>
  <c r="AZ2" i="5" s="1"/>
  <c r="BM4" i="5" l="1"/>
  <c r="BN4" i="5" s="1"/>
  <c r="BH4" i="5"/>
  <c r="BM5" i="5"/>
  <c r="BN5" i="5" s="1"/>
  <c r="BH5" i="5"/>
  <c r="AV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  <author>Freda Zhao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  <comment ref="Z4" authorId="1" shapeId="0">
      <text>
        <r>
          <rPr>
            <b/>
            <sz val="9"/>
            <color indexed="81"/>
            <rFont val="宋体"/>
            <family val="3"/>
            <charset val="134"/>
          </rPr>
          <t>Freda Zhao:</t>
        </r>
        <r>
          <rPr>
            <sz val="9"/>
            <color indexed="81"/>
            <rFont val="宋体"/>
            <family val="3"/>
            <charset val="134"/>
          </rPr>
          <t xml:space="preserve">
FLAT/ NOT HALF FOLD</t>
        </r>
      </text>
    </comment>
    <comment ref="Z5" authorId="1" shapeId="0">
      <text>
        <r>
          <rPr>
            <b/>
            <sz val="9"/>
            <color indexed="81"/>
            <rFont val="宋体"/>
            <family val="3"/>
            <charset val="134"/>
          </rPr>
          <t>Freda Zhao:</t>
        </r>
        <r>
          <rPr>
            <sz val="9"/>
            <color indexed="81"/>
            <rFont val="宋体"/>
            <family val="3"/>
            <charset val="134"/>
          </rPr>
          <t xml:space="preserve">
FLAT/ NOT HALF FOLD</t>
        </r>
      </text>
    </comment>
  </commentList>
</comments>
</file>

<file path=xl/sharedStrings.xml><?xml version="1.0" encoding="utf-8"?>
<sst xmlns="http://schemas.openxmlformats.org/spreadsheetml/2006/main" count="137" uniqueCount="102">
  <si>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</si>
  <si>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</si>
  <si>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</si>
  <si>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</si>
  <si>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</si>
  <si>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</si>
  <si>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</si>
  <si>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</si>
  <si>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</si>
  <si>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</si>
  <si>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</si>
  <si>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</si>
  <si>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</si>
  <si>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</si>
  <si>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</si>
  <si>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</si>
  <si>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</si>
  <si>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</si>
  <si>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</si>
  <si>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</si>
  <si>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</si>
  <si>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</si>
  <si>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</si>
  <si>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</si>
  <si>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</si>
  <si>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</si>
  <si>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</si>
  <si>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</si>
  <si>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</si>
  <si>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</si>
  <si>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</si>
  <si>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</si>
  <si>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</si>
  <si>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</si>
  <si>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</si>
  <si>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</si>
  <si>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</si>
  <si>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</si>
  <si>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</si>
  <si>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</si>
  <si>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</si>
  <si>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</si>
  <si>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</si>
  <si>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</si>
  <si>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</si>
  <si>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</si>
  <si>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</si>
  <si>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</si>
  <si>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</si>
  <si>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</si>
  <si>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</si>
  <si>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</si>
  <si>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</si>
  <si>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</si>
  <si>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</si>
  <si>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</si>
  <si>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</si>
  <si>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</si>
  <si>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</si>
  <si>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</si>
  <si>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</si>
  <si>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</si>
  <si>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</si>
  <si>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</si>
  <si>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</si>
  <si>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</si>
  <si>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</si>
  <si>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</si>
  <si>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</si>
  <si>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</si>
  <si>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</si>
  <si>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</si>
  <si>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</si>
  <si>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</si>
  <si>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</si>
  <si>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</si>
  <si>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</si>
  <si>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</si>
  <si>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</si>
  <si>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</si>
  <si>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</si>
  <si>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</si>
  <si>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Suri</t>
    <phoneticPr fontId="19" type="noConversion"/>
  </si>
  <si>
    <t>Marlow</t>
    <phoneticPr fontId="19" type="noConversion"/>
  </si>
  <si>
    <t>Anika</t>
    <phoneticPr fontId="19" type="noConversion"/>
  </si>
  <si>
    <t>Front Fabric : 100% COW SPLIT SUEDE LEATHER. 
Front Lining: 110 GSM cotton sheeting lining/ White
Back Fabric 100% COTTON DTM. 16X8 COTTON DUCK.  200 GSM
Zipper: LOGO EMBOSSED ZIPPER. 9 PART PILLOW WITH OPEN FLANGE.
Package: Hangtag+PE bag+mailer bag.  30pc in 5ply per carton</t>
    <phoneticPr fontId="11" type="noConversion"/>
  </si>
  <si>
    <t>100% cow split suede leather</t>
    <phoneticPr fontId="11" type="noConversion"/>
  </si>
  <si>
    <t>Front Fabric 100% COW SPLIT SUEDE LEATHER.
Front Lining: COTTON DUCK 16X8 DTM. 200 GSM
Back Fabric 100% COTTON DTM. 16X8 COTTON DUCK.  200 GSM. Zipper: LOGO EMBOSSED ZIPPER. WOVEN PILLOW
Package: Hangtag+PE bag+mailer bag.  30pc in 5ply per carton</t>
    <phoneticPr fontId="11" type="noConversion"/>
  </si>
  <si>
    <t>Front Fabric  100% COW HAIRON NATURAL COLORS WHITE GREY 
Front Lining: 110 GSM cotton sheeting lining/ White
Back Fabric  100% COTTON DTM. 16X8 COTTON DUCK . 200 GSM. Zipper: LOGO EMBOSSED ZIPPER. PATCHWORK PILLOW
Package: Hangtag+PE bag+mailer bag.  30pc in 5ply per carton</t>
    <phoneticPr fontId="11" type="noConversion"/>
  </si>
  <si>
    <t>100% cow hairon</t>
    <phoneticPr fontId="11" type="noConversion"/>
  </si>
  <si>
    <t xml:space="preserve">1 Pillow Cover 20"W x  20"L +0.75" </t>
    <phoneticPr fontId="11" type="noConversion"/>
  </si>
  <si>
    <t>4205.00.8000</t>
    <phoneticPr fontId="22" type="noConversion"/>
  </si>
  <si>
    <t>Neutral</t>
    <phoneticPr fontId="11" type="noConversion"/>
  </si>
  <si>
    <t>022164831627</t>
    <phoneticPr fontId="11" type="noConversion"/>
  </si>
  <si>
    <t>022164831634</t>
    <phoneticPr fontId="11" type="noConversion"/>
  </si>
  <si>
    <t>022164831641</t>
    <phoneticPr fontId="11" type="noConversion"/>
  </si>
  <si>
    <t>022164831658</t>
    <phoneticPr fontId="11" type="noConversion"/>
  </si>
  <si>
    <t xml:space="preserve">1 Pillow Cover 14"W x  24"L </t>
    <phoneticPr fontId="11" type="noConversion"/>
  </si>
  <si>
    <t>HH21-2067</t>
  </si>
  <si>
    <t>HH21-2068</t>
  </si>
  <si>
    <t>HH21-2069</t>
  </si>
  <si>
    <t>HH21-2066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</si>
</sst>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0_);[Red]\(0\)"/>
    <numFmt numFmtId="183" formatCode="\$#,##0.00"/>
    <numFmt numFmtId="184" formatCode="[$￥-804]#,##0.00;[Red][$￥-804]#,##0.00"/>
  </numFmts>
  <fonts count="2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等线"/>
      <family val="2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184" fontId="0" fillId="0" borderId="0"/>
    <xf numFmtId="184" fontId="4" fillId="0" borderId="0"/>
    <xf numFmtId="184" fontId="4" fillId="0" borderId="0"/>
    <xf numFmtId="184" fontId="4" fillId="0" borderId="0"/>
    <xf numFmtId="184" fontId="3" fillId="0" borderId="0"/>
    <xf numFmtId="9" fontId="3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4" fontId="4" fillId="0" borderId="0"/>
    <xf numFmtId="184" fontId="10" fillId="0" borderId="0">
      <alignment vertical="center"/>
    </xf>
    <xf numFmtId="9" fontId="10" fillId="0" borderId="0" applyFont="0" applyFill="0" applyBorder="0" applyAlignment="0" applyProtection="0"/>
    <xf numFmtId="184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4" fontId="4" fillId="0" borderId="0"/>
    <xf numFmtId="184" fontId="1" fillId="0" borderId="0"/>
    <xf numFmtId="9" fontId="1" fillId="0" borderId="0" applyFont="0" applyFill="0" applyBorder="0" applyAlignment="0" applyProtection="0"/>
    <xf numFmtId="184" fontId="12" fillId="0" borderId="0"/>
    <xf numFmtId="184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4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4" fontId="10" fillId="0" borderId="0">
      <alignment vertical="center"/>
    </xf>
    <xf numFmtId="184" fontId="17" fillId="0" borderId="0"/>
    <xf numFmtId="184" fontId="18" fillId="0" borderId="0"/>
    <xf numFmtId="184" fontId="4" fillId="0" borderId="0"/>
    <xf numFmtId="184" fontId="4" fillId="0" borderId="0"/>
  </cellStyleXfs>
  <cellXfs count="101">
    <xf numFmtId="184" fontId="0" fillId="0" borderId="0" xfId="0"/>
    <xf numFmtId="184" fontId="3" fillId="0" borderId="0" xfId="4" applyAlignment="1">
      <alignment horizontal="center" wrapText="1"/>
    </xf>
    <xf numFmtId="184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4" fontId="2" fillId="0" borderId="1" xfId="4" applyFont="1" applyBorder="1" applyAlignment="1">
      <alignment horizontal="center" wrapText="1"/>
    </xf>
    <xf numFmtId="184" fontId="2" fillId="5" borderId="1" xfId="4" applyFont="1" applyFill="1" applyBorder="1" applyAlignment="1">
      <alignment horizontal="center" wrapText="1"/>
    </xf>
    <xf numFmtId="184" fontId="8" fillId="5" borderId="1" xfId="4" applyFont="1" applyFill="1" applyBorder="1" applyAlignment="1">
      <alignment horizontal="center" wrapText="1"/>
    </xf>
    <xf numFmtId="184" fontId="8" fillId="6" borderId="1" xfId="4" applyFont="1" applyFill="1" applyBorder="1" applyAlignment="1">
      <alignment horizontal="center" wrapText="1"/>
    </xf>
    <xf numFmtId="184" fontId="2" fillId="6" borderId="1" xfId="4" applyFont="1" applyFill="1" applyBorder="1" applyAlignment="1">
      <alignment horizontal="center" wrapText="1"/>
    </xf>
    <xf numFmtId="184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4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4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2" fontId="3" fillId="0" borderId="1" xfId="4" applyNumberFormat="1" applyBorder="1" applyAlignment="1">
      <alignment horizontal="center" vertical="center"/>
    </xf>
    <xf numFmtId="184" fontId="3" fillId="0" borderId="1" xfId="4" applyBorder="1" applyAlignment="1">
      <alignment horizontal="center" vertical="center"/>
    </xf>
    <xf numFmtId="184" fontId="3" fillId="10" borderId="1" xfId="4" applyFill="1" applyBorder="1" applyAlignment="1">
      <alignment horizontal="center" vertical="center" wrapText="1"/>
    </xf>
    <xf numFmtId="184" fontId="3" fillId="0" borderId="4" xfId="4" applyBorder="1" applyAlignment="1">
      <alignment horizontal="center" vertical="center" wrapText="1"/>
    </xf>
    <xf numFmtId="184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4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4" fontId="16" fillId="6" borderId="1" xfId="4" applyFont="1" applyFill="1" applyBorder="1" applyAlignment="1">
      <alignment horizontal="center" vertical="center"/>
    </xf>
    <xf numFmtId="184" fontId="16" fillId="6" borderId="4" xfId="4" applyFont="1" applyFill="1" applyBorder="1" applyAlignment="1">
      <alignment horizontal="center" vertical="center"/>
    </xf>
    <xf numFmtId="184" fontId="16" fillId="6" borderId="4" xfId="4" quotePrefix="1" applyFont="1" applyFill="1" applyBorder="1" applyAlignment="1">
      <alignment horizontal="center" vertical="center"/>
    </xf>
    <xf numFmtId="184" fontId="16" fillId="0" borderId="4" xfId="4" applyFont="1" applyBorder="1" applyAlignment="1">
      <alignment horizontal="left" vertical="center" wrapText="1"/>
    </xf>
    <xf numFmtId="184" fontId="3" fillId="0" borderId="4" xfId="4" applyBorder="1" applyAlignment="1">
      <alignment vertical="center"/>
    </xf>
    <xf numFmtId="184" fontId="3" fillId="0" borderId="4" xfId="4" applyBorder="1" applyAlignment="1">
      <alignment vertical="center" wrapText="1"/>
    </xf>
    <xf numFmtId="183" fontId="3" fillId="11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4" fontId="3" fillId="0" borderId="1" xfId="4" applyBorder="1" applyAlignment="1">
      <alignment horizontal="center" vertical="center" wrapText="1"/>
    </xf>
    <xf numFmtId="184" fontId="3" fillId="9" borderId="4" xfId="4" applyFill="1" applyBorder="1" applyAlignment="1">
      <alignment horizontal="center" vertical="center"/>
    </xf>
    <xf numFmtId="184" fontId="4" fillId="12" borderId="4" xfId="30" applyFill="1" applyBorder="1" applyAlignment="1">
      <alignment horizontal="center" vertical="center" wrapText="1"/>
    </xf>
    <xf numFmtId="184" fontId="4" fillId="0" borderId="4" xfId="30" applyBorder="1" applyAlignment="1">
      <alignment horizontal="center" vertical="center" wrapText="1"/>
    </xf>
    <xf numFmtId="184" fontId="4" fillId="0" borderId="4" xfId="10" applyFont="1" applyBorder="1" applyAlignment="1" applyProtection="1">
      <alignment horizontal="center" vertical="center" wrapText="1"/>
      <protection locked="0"/>
    </xf>
    <xf numFmtId="178" fontId="4" fillId="0" borderId="4" xfId="10" applyNumberFormat="1" applyFont="1" applyBorder="1" applyAlignment="1" applyProtection="1">
      <alignment horizontal="center" vertical="center"/>
      <protection locked="0"/>
    </xf>
    <xf numFmtId="177" fontId="3" fillId="13" borderId="1" xfId="4" applyNumberFormat="1" applyFill="1" applyBorder="1" applyAlignment="1">
      <alignment horizontal="center" vertical="center"/>
    </xf>
    <xf numFmtId="177" fontId="3" fillId="13" borderId="4" xfId="4" applyNumberFormat="1" applyFill="1" applyBorder="1" applyAlignment="1">
      <alignment horizontal="center" vertical="center"/>
    </xf>
    <xf numFmtId="184" fontId="3" fillId="14" borderId="1" xfId="4" applyFill="1" applyBorder="1" applyAlignment="1">
      <alignment horizontal="center" vertical="center"/>
    </xf>
    <xf numFmtId="184" fontId="16" fillId="0" borderId="4" xfId="4" applyFont="1" applyFill="1" applyBorder="1" applyAlignment="1">
      <alignment horizontal="left" vertical="center" wrapText="1"/>
    </xf>
  </cellXfs>
  <cellStyles count="31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Normal_Sheet1" xfId="30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57728</xdr:colOff>
      <xdr:row>3</xdr:row>
      <xdr:rowOff>271318</xdr:rowOff>
    </xdr:from>
    <xdr:to>
      <xdr:col>1</xdr:col>
      <xdr:colOff>1538690</xdr:colOff>
      <xdr:row>3</xdr:row>
      <xdr:rowOff>1477818</xdr:rowOff>
    </xdr:to>
    <xdr:pic>
      <xdr:nvPicPr>
        <xdr:cNvPr id="2" name="Picture 3">
          <a:extLst>
            <a:ext uri="{FF2B5EF4-FFF2-40B4-BE49-F238E27FC236}">
              <a16:creationId xmlns="" xmlns:a16="http://schemas.microsoft.com/office/drawing/2014/main" id="{674368EF-8153-4BF5-BEEB-F4F7978EFD2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4" b="18462"/>
        <a:stretch>
          <a:fillRect/>
        </a:stretch>
      </xdr:blipFill>
      <xdr:spPr>
        <a:xfrm>
          <a:off x="727364" y="5905500"/>
          <a:ext cx="1480962" cy="1206500"/>
        </a:xfrm>
        <a:prstGeom prst="rect">
          <a:avLst/>
        </a:prstGeom>
      </xdr:spPr>
    </xdr:pic>
    <xdr:clientData/>
  </xdr:twoCellAnchor>
  <xdr:twoCellAnchor>
    <xdr:from>
      <xdr:col>1</xdr:col>
      <xdr:colOff>57726</xdr:colOff>
      <xdr:row>4</xdr:row>
      <xdr:rowOff>317500</xdr:rowOff>
    </xdr:from>
    <xdr:to>
      <xdr:col>1</xdr:col>
      <xdr:colOff>1572779</xdr:colOff>
      <xdr:row>4</xdr:row>
      <xdr:rowOff>1627909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6F921636-87C3-43DF-BC55-0610CEF65CF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6" b="8730"/>
        <a:stretch>
          <a:fillRect/>
        </a:stretch>
      </xdr:blipFill>
      <xdr:spPr>
        <a:xfrm>
          <a:off x="727362" y="7706591"/>
          <a:ext cx="1515053" cy="1310409"/>
        </a:xfrm>
        <a:prstGeom prst="rect">
          <a:avLst/>
        </a:prstGeom>
      </xdr:spPr>
    </xdr:pic>
    <xdr:clientData/>
  </xdr:twoCellAnchor>
  <xdr:twoCellAnchor>
    <xdr:from>
      <xdr:col>1</xdr:col>
      <xdr:colOff>34636</xdr:colOff>
      <xdr:row>2</xdr:row>
      <xdr:rowOff>225136</xdr:rowOff>
    </xdr:from>
    <xdr:to>
      <xdr:col>1</xdr:col>
      <xdr:colOff>1547091</xdr:colOff>
      <xdr:row>2</xdr:row>
      <xdr:rowOff>1457293</xdr:rowOff>
    </xdr:to>
    <xdr:pic>
      <xdr:nvPicPr>
        <xdr:cNvPr id="12" name="Picture 3">
          <a:extLst>
            <a:ext uri="{FF2B5EF4-FFF2-40B4-BE49-F238E27FC236}">
              <a16:creationId xmlns="" xmlns:a16="http://schemas.microsoft.com/office/drawing/2014/main" id="{93B69CB9-93E3-4AFE-9DA6-378DAB8EB6C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4" b="18462"/>
        <a:stretch>
          <a:fillRect/>
        </a:stretch>
      </xdr:blipFill>
      <xdr:spPr>
        <a:xfrm>
          <a:off x="704272" y="4104409"/>
          <a:ext cx="1512455" cy="1232157"/>
        </a:xfrm>
        <a:prstGeom prst="rect">
          <a:avLst/>
        </a:prstGeom>
      </xdr:spPr>
    </xdr:pic>
    <xdr:clientData/>
  </xdr:twoCellAnchor>
  <xdr:twoCellAnchor>
    <xdr:from>
      <xdr:col>1</xdr:col>
      <xdr:colOff>30308</xdr:colOff>
      <xdr:row>1</xdr:row>
      <xdr:rowOff>300182</xdr:rowOff>
    </xdr:from>
    <xdr:to>
      <xdr:col>1</xdr:col>
      <xdr:colOff>1534943</xdr:colOff>
      <xdr:row>1</xdr:row>
      <xdr:rowOff>1581727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AD329F46-13D8-4EEA-9404-1D4F4F8F7A4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8" b="13997"/>
        <a:stretch>
          <a:fillRect/>
        </a:stretch>
      </xdr:blipFill>
      <xdr:spPr>
        <a:xfrm>
          <a:off x="699944" y="2424546"/>
          <a:ext cx="1504635" cy="128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19"/>
  <sheetViews>
    <sheetView tabSelected="1" topLeftCell="K1" zoomScale="70" zoomScaleNormal="70" workbookViewId="0">
      <selection activeCell="K6" sqref="A6:XFD6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7.42578125" style="2" customWidth="1"/>
    <col min="16" max="16" width="19.1406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2" customFormat="1" ht="138.6" customHeight="1">
      <c r="A2" s="47">
        <v>1</v>
      </c>
      <c r="B2" s="48"/>
      <c r="C2" s="48"/>
      <c r="D2" s="99" t="s">
        <v>5</v>
      </c>
      <c r="E2" s="48"/>
      <c r="F2" s="48" t="s">
        <v>39</v>
      </c>
      <c r="G2" s="91" t="s">
        <v>82</v>
      </c>
      <c r="H2" s="87" t="s">
        <v>81</v>
      </c>
      <c r="I2" s="86" t="s">
        <v>79</v>
      </c>
      <c r="J2" s="49" t="s">
        <v>85</v>
      </c>
      <c r="K2" s="50" t="s">
        <v>86</v>
      </c>
      <c r="L2" s="85" t="s">
        <v>90</v>
      </c>
      <c r="M2" s="92" t="s">
        <v>92</v>
      </c>
      <c r="N2" s="50"/>
      <c r="O2" s="83" t="s">
        <v>101</v>
      </c>
      <c r="P2" s="84" t="s">
        <v>93</v>
      </c>
      <c r="Q2" s="48"/>
      <c r="R2" s="51"/>
      <c r="S2" s="48" t="s">
        <v>6</v>
      </c>
      <c r="T2" s="52">
        <v>150</v>
      </c>
      <c r="U2" s="53">
        <f t="shared" ref="U2:U3" si="0">X2*0.95</f>
        <v>9.41</v>
      </c>
      <c r="V2" s="54">
        <f t="shared" ref="V2:V3" si="1">IF(W2="","",X2*W2)</f>
        <v>76.23</v>
      </c>
      <c r="W2" s="55">
        <v>7.7</v>
      </c>
      <c r="X2" s="97">
        <v>9.9</v>
      </c>
      <c r="Y2" s="48" t="s">
        <v>4</v>
      </c>
      <c r="Z2" s="56">
        <v>56</v>
      </c>
      <c r="AA2" s="56">
        <v>56</v>
      </c>
      <c r="AB2" s="56">
        <v>20</v>
      </c>
      <c r="AC2" s="57"/>
      <c r="AD2" s="52">
        <v>30</v>
      </c>
      <c r="AE2" s="58">
        <f t="shared" ref="AE2:AE3" si="2">IF(Z2="","",Z2*AA2*AB2/1000000)</f>
        <v>6.3E-2</v>
      </c>
      <c r="AF2" s="59" t="s">
        <v>0</v>
      </c>
      <c r="AG2" s="76">
        <v>10</v>
      </c>
      <c r="AH2" s="76">
        <v>10</v>
      </c>
      <c r="AI2" s="76">
        <v>1</v>
      </c>
      <c r="AJ2" s="60"/>
      <c r="AK2" s="60">
        <v>65</v>
      </c>
      <c r="AL2" s="61">
        <f t="shared" ref="AL2:AL3" si="3">IF(AD2="","",AK2/AE2*AD2)</f>
        <v>30952</v>
      </c>
      <c r="AM2" s="62">
        <v>3900</v>
      </c>
      <c r="AN2" s="63">
        <f t="shared" ref="AN2:AN3" si="4">IF(ISERROR(AM2/AL2),"",AM2/AL2)</f>
        <v>0.13</v>
      </c>
      <c r="AO2" s="95" t="s">
        <v>91</v>
      </c>
      <c r="AP2" s="96">
        <f>0%+10%</f>
        <v>0.1</v>
      </c>
      <c r="AQ2" s="63">
        <f t="shared" ref="AQ2:AQ3" si="5">IF(ISERROR(X2*AP2),"",X2*AP2)</f>
        <v>0.99</v>
      </c>
      <c r="AR2" s="63">
        <f t="shared" ref="AR2:AR3" si="6">IF(ISERROR(X2+AN2+AQ2),"",X2+AN2+AQ2)</f>
        <v>11.02</v>
      </c>
      <c r="AS2" s="54">
        <f t="shared" ref="AS2:AS3" si="7">IF(ISERROR(Z2*AA2*AB2/AD2),"",Z2*AA2*AB2/AD2)</f>
        <v>2090.67</v>
      </c>
      <c r="AT2" s="54">
        <f t="shared" ref="AT2:AT3" si="8">IF(ISERROR(AS2/28316.847),"",AS2/28316.847)</f>
        <v>7.0000000000000007E-2</v>
      </c>
      <c r="AU2" s="60">
        <v>4</v>
      </c>
      <c r="AV2" s="63">
        <f t="shared" ref="AV2:AV3" si="9">IF(ISERROR(AT2*AU2),"",AT2*AU2)</f>
        <v>0.28000000000000003</v>
      </c>
      <c r="AW2" s="64">
        <v>0.1</v>
      </c>
      <c r="AX2" s="63">
        <f t="shared" ref="AX2:AX3" si="10">IF(ISERROR(BI2*AW2),"",BI2*AW2)</f>
        <v>2.75</v>
      </c>
      <c r="AY2" s="64">
        <v>0</v>
      </c>
      <c r="AZ2" s="88">
        <f>IF(AT2*AD2="","",((IF(AT2*AD2&lt;0.6,'[2]E&amp;E Pricing Structure'!$D$11,IF(AT2*AD2&lt;1.2,'[2]E&amp;E Pricing Structure'!$D$12,IF(AT2*AD2&lt;1.8,'[2]E&amp;E Pricing Structure'!$D$13,IF(AT2*AD2&lt;2.7,'[2]E&amp;E Pricing Structure'!$D$14,IF(AT2*AD2&lt;4.8,'[2]E&amp;E Pricing Structure'!$D$15,IF(AT2*AD2&lt;12.5,'[2]E&amp;E Pricing Structure'!$D$16,IF(AT2*AD2&lt;50,'[2]E&amp;E Pricing Structure'!$D$17,'[2]E&amp;E Pricing Structure'!$D$18))))))))+(IF(AT2*AD2&lt;0.6,'[2]E&amp;E Pricing Structure'!$D$30,IF(AT2*AD2&lt;1.2,'[2]E&amp;E Pricing Structure'!$D$31,IF(AT2*AD2&lt;1.8,'[2]E&amp;E Pricing Structure'!$D$32,IF(AT2*AD2&lt;2.7,'[2]E&amp;E Pricing Structure'!$D$33,IF(AT2*AD2&lt;4.8,'[2]E&amp;E Pricing Structure'!$D$34,IF(AT2*AD2&lt;12.5,'[2]E&amp;E Pricing Structure'!$D$35,IF(AT2*AD2&lt;50,'[2]E&amp;E Pricing Structure'!$D$36,'[2]E&amp;E Pricing Structure'!$D$37)))))))))/AD2)</f>
        <v>0.17</v>
      </c>
      <c r="BA2" s="64">
        <v>0</v>
      </c>
      <c r="BB2" s="63">
        <f t="shared" ref="BB2:BB3" si="11">IF(ISERROR(BI2*BA2),"",BI2*BA2)</f>
        <v>0</v>
      </c>
      <c r="BC2" s="89" t="s">
        <v>77</v>
      </c>
      <c r="BD2" s="64">
        <v>0.15</v>
      </c>
      <c r="BE2" s="63">
        <f t="shared" ref="BE2:BE3" si="12">IF(ISERROR(BI2*BD2),"",BI2*BD2)</f>
        <v>4.13</v>
      </c>
      <c r="BF2" s="63">
        <f t="shared" ref="BF2:BF3" si="13">IF(ISERROR(AV2+AX2+AZ2+BB2+BE2),"",AV2+AX2+AZ2+BB2+BE2)</f>
        <v>7.33</v>
      </c>
      <c r="BG2" s="63">
        <f t="shared" ref="BG2:BG3" si="14">IF(ISERROR(AR2+BF2),"",AR2+BF2)</f>
        <v>18.350000000000001</v>
      </c>
      <c r="BH2" s="65">
        <f t="shared" ref="BH2:BH3" si="15">IF(ISERROR((BI2-BG2)/BI2),"",(BI2-BG2)/BI2)</f>
        <v>0.3327</v>
      </c>
      <c r="BI2" s="63">
        <f t="shared" ref="BI2:BI3" si="16">IF(BO2="","",BO2*(1-BP2))</f>
        <v>27.5</v>
      </c>
      <c r="BJ2" s="66">
        <v>0.3</v>
      </c>
      <c r="BK2" s="63">
        <f t="shared" ref="BK2:BK3" si="17">IF(BJ2="","",BO2*BJ2)</f>
        <v>16.5</v>
      </c>
      <c r="BL2" s="67">
        <v>5</v>
      </c>
      <c r="BM2" s="63">
        <f t="shared" ref="BM2:BM3" si="18">IF(ISERROR(BG2+BK2+BL2),"",BG2+BK2+BL2)</f>
        <v>39.85</v>
      </c>
      <c r="BN2" s="68">
        <f t="shared" ref="BN2:BN3" si="19">IF(BO2="","",(BO2-BM2)/BO2)</f>
        <v>0.27529999999999999</v>
      </c>
      <c r="BO2" s="67">
        <v>54.99</v>
      </c>
      <c r="BP2" s="66">
        <v>0.5</v>
      </c>
      <c r="BQ2" s="69"/>
      <c r="BR2" s="70">
        <f t="shared" ref="BR2:BR3" si="20">BI2</f>
        <v>27.5</v>
      </c>
      <c r="BS2" s="35">
        <f t="shared" ref="BS2:BS3" si="21">IF(BT2="","",CEILING(BT2/0.9 - 0.01, 10) - 0.01)</f>
        <v>69.989999999999995</v>
      </c>
      <c r="BT2" s="70">
        <f t="shared" ref="BT2:BT3" si="22">IF(BO2="","",BO2)</f>
        <v>54.99</v>
      </c>
      <c r="BU2" s="71">
        <f t="shared" ref="BU2:BU3" si="23">IF(BR2="","",(BR2-AR2)/BR2)</f>
        <v>0.59930000000000005</v>
      </c>
      <c r="BV2" s="71">
        <f t="shared" ref="BV2:BV3" si="24">IF(BS2="","",(BS2-BR2)/BS2)</f>
        <v>0.60709999999999997</v>
      </c>
    </row>
    <row r="3" spans="1:74" s="72" customFormat="1" ht="138.6" customHeight="1">
      <c r="A3" s="47">
        <v>2</v>
      </c>
      <c r="B3" s="51"/>
      <c r="C3" s="51"/>
      <c r="D3" s="99" t="s">
        <v>5</v>
      </c>
      <c r="E3" s="51"/>
      <c r="F3" s="48" t="s">
        <v>39</v>
      </c>
      <c r="G3" s="91" t="s">
        <v>83</v>
      </c>
      <c r="H3" s="87" t="s">
        <v>81</v>
      </c>
      <c r="I3" s="86" t="s">
        <v>79</v>
      </c>
      <c r="J3" s="49" t="s">
        <v>87</v>
      </c>
      <c r="K3" s="50" t="s">
        <v>86</v>
      </c>
      <c r="L3" s="100" t="s">
        <v>97</v>
      </c>
      <c r="M3" s="92" t="s">
        <v>92</v>
      </c>
      <c r="N3" s="50"/>
      <c r="O3" s="83" t="s">
        <v>98</v>
      </c>
      <c r="P3" s="84" t="s">
        <v>94</v>
      </c>
      <c r="Q3" s="51"/>
      <c r="R3" s="51"/>
      <c r="S3" s="48" t="s">
        <v>6</v>
      </c>
      <c r="T3" s="73">
        <v>150</v>
      </c>
      <c r="U3" s="74">
        <f t="shared" si="0"/>
        <v>15.96</v>
      </c>
      <c r="V3" s="75">
        <f t="shared" si="1"/>
        <v>129.36000000000001</v>
      </c>
      <c r="W3" s="55">
        <v>7.7</v>
      </c>
      <c r="X3" s="98">
        <v>16.8</v>
      </c>
      <c r="Y3" s="51" t="s">
        <v>4</v>
      </c>
      <c r="Z3" s="76">
        <v>63</v>
      </c>
      <c r="AA3" s="76">
        <v>38</v>
      </c>
      <c r="AB3" s="76">
        <v>20</v>
      </c>
      <c r="AC3" s="57"/>
      <c r="AD3" s="73">
        <v>30</v>
      </c>
      <c r="AE3" s="77">
        <f t="shared" si="2"/>
        <v>4.8000000000000001E-2</v>
      </c>
      <c r="AF3" s="59" t="s">
        <v>0</v>
      </c>
      <c r="AG3" s="76">
        <v>14</v>
      </c>
      <c r="AH3" s="76">
        <v>12</v>
      </c>
      <c r="AI3" s="76">
        <v>0.7</v>
      </c>
      <c r="AJ3" s="57"/>
      <c r="AK3" s="57">
        <v>65</v>
      </c>
      <c r="AL3" s="78">
        <f t="shared" si="3"/>
        <v>40625</v>
      </c>
      <c r="AM3" s="79">
        <v>3900</v>
      </c>
      <c r="AN3" s="70">
        <f t="shared" si="4"/>
        <v>0.1</v>
      </c>
      <c r="AO3" s="95" t="s">
        <v>91</v>
      </c>
      <c r="AP3" s="96">
        <f t="shared" ref="AP3:AP5" si="25">0%+10%</f>
        <v>0.1</v>
      </c>
      <c r="AQ3" s="70">
        <f t="shared" si="5"/>
        <v>1.68</v>
      </c>
      <c r="AR3" s="70">
        <f t="shared" si="6"/>
        <v>18.579999999999998</v>
      </c>
      <c r="AS3" s="75">
        <f t="shared" si="7"/>
        <v>1596</v>
      </c>
      <c r="AT3" s="75">
        <f t="shared" si="8"/>
        <v>0.06</v>
      </c>
      <c r="AU3" s="57">
        <v>4</v>
      </c>
      <c r="AV3" s="70">
        <f t="shared" si="9"/>
        <v>0.24</v>
      </c>
      <c r="AW3" s="66">
        <v>0.1</v>
      </c>
      <c r="AX3" s="70">
        <f t="shared" si="10"/>
        <v>4</v>
      </c>
      <c r="AY3" s="66">
        <v>0</v>
      </c>
      <c r="AZ3" s="88">
        <f>IF(AT3*AD3="","",((IF(AT3*AD3&lt;0.6,'[2]E&amp;E Pricing Structure'!$D$11,IF(AT3*AD3&lt;1.2,'[2]E&amp;E Pricing Structure'!$D$12,IF(AT3*AD3&lt;1.8,'[2]E&amp;E Pricing Structure'!$D$13,IF(AT3*AD3&lt;2.7,'[2]E&amp;E Pricing Structure'!$D$14,IF(AT3*AD3&lt;4.8,'[2]E&amp;E Pricing Structure'!$D$15,IF(AT3*AD3&lt;12.5,'[2]E&amp;E Pricing Structure'!$D$16,IF(AT3*AD3&lt;50,'[2]E&amp;E Pricing Structure'!$D$17,'[2]E&amp;E Pricing Structure'!$D$18))))))))+(IF(AT3*AD3&lt;0.6,'[2]E&amp;E Pricing Structure'!$D$30,IF(AT3*AD3&lt;1.2,'[2]E&amp;E Pricing Structure'!$D$31,IF(AT3*AD3&lt;1.8,'[2]E&amp;E Pricing Structure'!$D$32,IF(AT3*AD3&lt;2.7,'[2]E&amp;E Pricing Structure'!$D$33,IF(AT3*AD3&lt;4.8,'[2]E&amp;E Pricing Structure'!$D$34,IF(AT3*AD3&lt;12.5,'[2]E&amp;E Pricing Structure'!$D$35,IF(AT3*AD3&lt;50,'[2]E&amp;E Pricing Structure'!$D$36,'[2]E&amp;E Pricing Structure'!$D$37)))))))))/AD3)</f>
        <v>0.17</v>
      </c>
      <c r="BA3" s="66">
        <v>0</v>
      </c>
      <c r="BB3" s="70">
        <f t="shared" si="11"/>
        <v>0</v>
      </c>
      <c r="BC3" s="90" t="s">
        <v>77</v>
      </c>
      <c r="BD3" s="66">
        <v>0.15</v>
      </c>
      <c r="BE3" s="70">
        <f t="shared" si="12"/>
        <v>6</v>
      </c>
      <c r="BF3" s="70">
        <f t="shared" si="13"/>
        <v>10.41</v>
      </c>
      <c r="BG3" s="70">
        <f t="shared" si="14"/>
        <v>28.99</v>
      </c>
      <c r="BH3" s="80">
        <f t="shared" si="15"/>
        <v>0.27529999999999999</v>
      </c>
      <c r="BI3" s="70">
        <f t="shared" si="16"/>
        <v>40</v>
      </c>
      <c r="BJ3" s="66">
        <v>0.3</v>
      </c>
      <c r="BK3" s="70">
        <f t="shared" si="17"/>
        <v>24</v>
      </c>
      <c r="BL3" s="67">
        <v>5</v>
      </c>
      <c r="BM3" s="70">
        <f t="shared" si="18"/>
        <v>57.99</v>
      </c>
      <c r="BN3" s="68">
        <f t="shared" si="19"/>
        <v>0.27500000000000002</v>
      </c>
      <c r="BO3" s="67">
        <v>79.989999999999995</v>
      </c>
      <c r="BP3" s="66">
        <v>0.5</v>
      </c>
      <c r="BQ3" s="69"/>
      <c r="BR3" s="70">
        <f t="shared" si="20"/>
        <v>40</v>
      </c>
      <c r="BS3" s="35">
        <f t="shared" si="21"/>
        <v>89.99</v>
      </c>
      <c r="BT3" s="70">
        <f t="shared" si="22"/>
        <v>79.989999999999995</v>
      </c>
      <c r="BU3" s="81">
        <f t="shared" si="23"/>
        <v>0.53549999999999998</v>
      </c>
      <c r="BV3" s="81">
        <f t="shared" si="24"/>
        <v>0.55549999999999999</v>
      </c>
    </row>
    <row r="4" spans="1:74" s="72" customFormat="1" ht="138.6" customHeight="1">
      <c r="A4" s="47">
        <v>3</v>
      </c>
      <c r="B4" s="48"/>
      <c r="C4" s="48"/>
      <c r="D4" s="99" t="s">
        <v>5</v>
      </c>
      <c r="E4" s="48"/>
      <c r="F4" s="48" t="s">
        <v>39</v>
      </c>
      <c r="G4" s="91" t="s">
        <v>83</v>
      </c>
      <c r="H4" s="87" t="s">
        <v>81</v>
      </c>
      <c r="I4" s="86" t="s">
        <v>79</v>
      </c>
      <c r="J4" s="49" t="s">
        <v>87</v>
      </c>
      <c r="K4" s="50" t="s">
        <v>86</v>
      </c>
      <c r="L4" s="85" t="s">
        <v>80</v>
      </c>
      <c r="M4" s="92" t="s">
        <v>92</v>
      </c>
      <c r="N4" s="50"/>
      <c r="O4" s="82" t="s">
        <v>99</v>
      </c>
      <c r="P4" s="84" t="s">
        <v>95</v>
      </c>
      <c r="Q4" s="48"/>
      <c r="R4" s="51"/>
      <c r="S4" s="48" t="s">
        <v>6</v>
      </c>
      <c r="T4" s="52">
        <v>150</v>
      </c>
      <c r="U4" s="53">
        <f t="shared" ref="U4:U5" si="26">X4*0.95</f>
        <v>15.96</v>
      </c>
      <c r="V4" s="54">
        <f t="shared" ref="V4:V5" si="27">IF(W4="","",X4*W4)</f>
        <v>129.36000000000001</v>
      </c>
      <c r="W4" s="55">
        <v>7.7</v>
      </c>
      <c r="X4" s="98">
        <v>16.8</v>
      </c>
      <c r="Y4" s="48" t="s">
        <v>4</v>
      </c>
      <c r="Z4" s="93">
        <v>53</v>
      </c>
      <c r="AA4" s="93">
        <v>53</v>
      </c>
      <c r="AB4" s="94">
        <v>20</v>
      </c>
      <c r="AC4" s="57"/>
      <c r="AD4" s="52">
        <v>30</v>
      </c>
      <c r="AE4" s="58">
        <f t="shared" ref="AE4:AE5" si="28">IF(Z4="","",Z4*AA4*AB4/1000000)</f>
        <v>5.6000000000000001E-2</v>
      </c>
      <c r="AF4" s="59" t="s">
        <v>0</v>
      </c>
      <c r="AG4" s="76">
        <v>10</v>
      </c>
      <c r="AH4" s="76">
        <v>10</v>
      </c>
      <c r="AI4" s="76">
        <v>1</v>
      </c>
      <c r="AJ4" s="60"/>
      <c r="AK4" s="60">
        <v>65</v>
      </c>
      <c r="AL4" s="61">
        <f t="shared" ref="AL4:AL5" si="29">IF(AD4="","",AK4/AE4*AD4)</f>
        <v>34821</v>
      </c>
      <c r="AM4" s="62">
        <v>3900</v>
      </c>
      <c r="AN4" s="63">
        <f t="shared" ref="AN4:AN5" si="30">IF(ISERROR(AM4/AL4),"",AM4/AL4)</f>
        <v>0.11</v>
      </c>
      <c r="AO4" s="95" t="s">
        <v>91</v>
      </c>
      <c r="AP4" s="96">
        <f t="shared" si="25"/>
        <v>0.1</v>
      </c>
      <c r="AQ4" s="63">
        <f t="shared" ref="AQ4:AQ5" si="31">IF(ISERROR(X4*AP4),"",X4*AP4)</f>
        <v>1.68</v>
      </c>
      <c r="AR4" s="63">
        <f t="shared" ref="AR4:AR5" si="32">IF(ISERROR(X4+AN4+AQ4),"",X4+AN4+AQ4)</f>
        <v>18.59</v>
      </c>
      <c r="AS4" s="54">
        <f t="shared" ref="AS4:AS5" si="33">IF(ISERROR(Z4*AA4*AB4/AD4),"",Z4*AA4*AB4/AD4)</f>
        <v>1872.67</v>
      </c>
      <c r="AT4" s="54">
        <f t="shared" ref="AT4:AT5" si="34">IF(ISERROR(AS4/28316.847),"",AS4/28316.847)</f>
        <v>7.0000000000000007E-2</v>
      </c>
      <c r="AU4" s="60">
        <v>4</v>
      </c>
      <c r="AV4" s="63">
        <f t="shared" ref="AV4:AV5" si="35">IF(ISERROR(AT4*AU4),"",AT4*AU4)</f>
        <v>0.28000000000000003</v>
      </c>
      <c r="AW4" s="64">
        <v>0.1</v>
      </c>
      <c r="AX4" s="63">
        <f t="shared" ref="AX4:AX5" si="36">IF(ISERROR(BI4*AW4),"",BI4*AW4)</f>
        <v>4</v>
      </c>
      <c r="AY4" s="64">
        <v>0</v>
      </c>
      <c r="AZ4" s="88">
        <f>IF(AT4*AD4="","",((IF(AT4*AD4&lt;0.6,'[2]E&amp;E Pricing Structure'!$D$11,IF(AT4*AD4&lt;1.2,'[2]E&amp;E Pricing Structure'!$D$12,IF(AT4*AD4&lt;1.8,'[2]E&amp;E Pricing Structure'!$D$13,IF(AT4*AD4&lt;2.7,'[2]E&amp;E Pricing Structure'!$D$14,IF(AT4*AD4&lt;4.8,'[2]E&amp;E Pricing Structure'!$D$15,IF(AT4*AD4&lt;12.5,'[2]E&amp;E Pricing Structure'!$D$16,IF(AT4*AD4&lt;50,'[2]E&amp;E Pricing Structure'!$D$17,'[2]E&amp;E Pricing Structure'!$D$18))))))))+(IF(AT4*AD4&lt;0.6,'[2]E&amp;E Pricing Structure'!$D$30,IF(AT4*AD4&lt;1.2,'[2]E&amp;E Pricing Structure'!$D$31,IF(AT4*AD4&lt;1.8,'[2]E&amp;E Pricing Structure'!$D$32,IF(AT4*AD4&lt;2.7,'[2]E&amp;E Pricing Structure'!$D$33,IF(AT4*AD4&lt;4.8,'[2]E&amp;E Pricing Structure'!$D$34,IF(AT4*AD4&lt;12.5,'[2]E&amp;E Pricing Structure'!$D$35,IF(AT4*AD4&lt;50,'[2]E&amp;E Pricing Structure'!$D$36,'[2]E&amp;E Pricing Structure'!$D$37)))))))))/AD4)</f>
        <v>0.17</v>
      </c>
      <c r="BA4" s="64">
        <v>0</v>
      </c>
      <c r="BB4" s="63">
        <f t="shared" ref="BB4:BB5" si="37">IF(ISERROR(BI4*BA4),"",BI4*BA4)</f>
        <v>0</v>
      </c>
      <c r="BC4" s="89" t="s">
        <v>77</v>
      </c>
      <c r="BD4" s="64">
        <v>0.15</v>
      </c>
      <c r="BE4" s="63">
        <f t="shared" ref="BE4:BE5" si="38">IF(ISERROR(BI4*BD4),"",BI4*BD4)</f>
        <v>6</v>
      </c>
      <c r="BF4" s="63">
        <f t="shared" ref="BF4:BF5" si="39">IF(ISERROR(AV4+AX4+AZ4+BB4+BE4),"",AV4+AX4+AZ4+BB4+BE4)</f>
        <v>10.45</v>
      </c>
      <c r="BG4" s="63">
        <f t="shared" ref="BG4:BG5" si="40">IF(ISERROR(AR4+BF4),"",AR4+BF4)</f>
        <v>29.04</v>
      </c>
      <c r="BH4" s="65">
        <f t="shared" ref="BH4:BH5" si="41">IF(ISERROR((BI4-BG4)/BI4),"",(BI4-BG4)/BI4)</f>
        <v>0.27400000000000002</v>
      </c>
      <c r="BI4" s="63">
        <f t="shared" ref="BI4:BI5" si="42">IF(BO4="","",BO4*(1-BP4))</f>
        <v>40</v>
      </c>
      <c r="BJ4" s="66">
        <v>0.3</v>
      </c>
      <c r="BK4" s="63">
        <f t="shared" ref="BK4:BK5" si="43">IF(BJ4="","",BO4*BJ4)</f>
        <v>24</v>
      </c>
      <c r="BL4" s="67">
        <v>5</v>
      </c>
      <c r="BM4" s="63">
        <f t="shared" ref="BM4:BM5" si="44">IF(ISERROR(BG4+BK4+BL4),"",BG4+BK4+BL4)</f>
        <v>58.04</v>
      </c>
      <c r="BN4" s="68">
        <f t="shared" ref="BN4:BN5" si="45">IF(BO4="","",(BO4-BM4)/BO4)</f>
        <v>0.27439999999999998</v>
      </c>
      <c r="BO4" s="67">
        <v>79.989999999999995</v>
      </c>
      <c r="BP4" s="66">
        <v>0.5</v>
      </c>
      <c r="BQ4" s="69"/>
      <c r="BR4" s="70">
        <f t="shared" ref="BR4:BR5" si="46">BI4</f>
        <v>40</v>
      </c>
      <c r="BS4" s="35">
        <f t="shared" ref="BS4:BS5" si="47">IF(BT4="","",CEILING(BT4/0.9 - 0.01, 10) - 0.01)</f>
        <v>89.99</v>
      </c>
      <c r="BT4" s="70">
        <f t="shared" ref="BT4:BT5" si="48">IF(BO4="","",BO4)</f>
        <v>79.989999999999995</v>
      </c>
      <c r="BU4" s="71">
        <f t="shared" ref="BU4:BU5" si="49">IF(BR4="","",(BR4-AR4)/BR4)</f>
        <v>0.5353</v>
      </c>
      <c r="BV4" s="71">
        <f t="shared" ref="BV4:BV5" si="50">IF(BS4="","",(BS4-BR4)/BS4)</f>
        <v>0.55549999999999999</v>
      </c>
    </row>
    <row r="5" spans="1:74" s="72" customFormat="1" ht="138.6" customHeight="1">
      <c r="A5" s="47">
        <v>4</v>
      </c>
      <c r="B5" s="51"/>
      <c r="C5" s="51"/>
      <c r="D5" s="99" t="s">
        <v>5</v>
      </c>
      <c r="E5" s="51"/>
      <c r="F5" s="48" t="s">
        <v>39</v>
      </c>
      <c r="G5" s="91" t="s">
        <v>84</v>
      </c>
      <c r="H5" s="87" t="s">
        <v>81</v>
      </c>
      <c r="I5" s="86" t="s">
        <v>79</v>
      </c>
      <c r="J5" s="49" t="s">
        <v>88</v>
      </c>
      <c r="K5" s="50" t="s">
        <v>89</v>
      </c>
      <c r="L5" s="85" t="s">
        <v>80</v>
      </c>
      <c r="M5" s="92" t="s">
        <v>92</v>
      </c>
      <c r="N5" s="50"/>
      <c r="O5" s="83" t="s">
        <v>100</v>
      </c>
      <c r="P5" s="84" t="s">
        <v>96</v>
      </c>
      <c r="Q5" s="51"/>
      <c r="R5" s="51"/>
      <c r="S5" s="48" t="s">
        <v>6</v>
      </c>
      <c r="T5" s="73">
        <v>150</v>
      </c>
      <c r="U5" s="74">
        <f t="shared" si="26"/>
        <v>9.69</v>
      </c>
      <c r="V5" s="75">
        <f t="shared" si="27"/>
        <v>78.540000000000006</v>
      </c>
      <c r="W5" s="55">
        <v>7.7</v>
      </c>
      <c r="X5" s="98">
        <v>10.199999999999999</v>
      </c>
      <c r="Y5" s="51" t="s">
        <v>4</v>
      </c>
      <c r="Z5" s="93">
        <v>53</v>
      </c>
      <c r="AA5" s="93">
        <v>53</v>
      </c>
      <c r="AB5" s="94">
        <v>20</v>
      </c>
      <c r="AC5" s="57"/>
      <c r="AD5" s="73">
        <v>30</v>
      </c>
      <c r="AE5" s="77">
        <f t="shared" si="28"/>
        <v>5.6000000000000001E-2</v>
      </c>
      <c r="AF5" s="59" t="s">
        <v>0</v>
      </c>
      <c r="AG5" s="76">
        <v>10</v>
      </c>
      <c r="AH5" s="76">
        <v>10</v>
      </c>
      <c r="AI5" s="76">
        <v>1</v>
      </c>
      <c r="AJ5" s="57"/>
      <c r="AK5" s="57">
        <v>65</v>
      </c>
      <c r="AL5" s="78">
        <f t="shared" si="29"/>
        <v>34821</v>
      </c>
      <c r="AM5" s="79">
        <v>3900</v>
      </c>
      <c r="AN5" s="70">
        <f t="shared" si="30"/>
        <v>0.11</v>
      </c>
      <c r="AO5" s="95" t="s">
        <v>91</v>
      </c>
      <c r="AP5" s="96">
        <f t="shared" si="25"/>
        <v>0.1</v>
      </c>
      <c r="AQ5" s="70">
        <f t="shared" si="31"/>
        <v>1.02</v>
      </c>
      <c r="AR5" s="70">
        <f t="shared" si="32"/>
        <v>11.33</v>
      </c>
      <c r="AS5" s="75">
        <f t="shared" si="33"/>
        <v>1872.67</v>
      </c>
      <c r="AT5" s="75">
        <f t="shared" si="34"/>
        <v>7.0000000000000007E-2</v>
      </c>
      <c r="AU5" s="57">
        <v>4</v>
      </c>
      <c r="AV5" s="70">
        <f t="shared" si="35"/>
        <v>0.28000000000000003</v>
      </c>
      <c r="AW5" s="66">
        <v>0.1</v>
      </c>
      <c r="AX5" s="70">
        <f t="shared" si="36"/>
        <v>2.75</v>
      </c>
      <c r="AY5" s="66">
        <v>0</v>
      </c>
      <c r="AZ5" s="88">
        <f>IF(AT5*AD5="","",((IF(AT5*AD5&lt;0.6,'[2]E&amp;E Pricing Structure'!$D$11,IF(AT5*AD5&lt;1.2,'[2]E&amp;E Pricing Structure'!$D$12,IF(AT5*AD5&lt;1.8,'[2]E&amp;E Pricing Structure'!$D$13,IF(AT5*AD5&lt;2.7,'[2]E&amp;E Pricing Structure'!$D$14,IF(AT5*AD5&lt;4.8,'[2]E&amp;E Pricing Structure'!$D$15,IF(AT5*AD5&lt;12.5,'[2]E&amp;E Pricing Structure'!$D$16,IF(AT5*AD5&lt;50,'[2]E&amp;E Pricing Structure'!$D$17,'[2]E&amp;E Pricing Structure'!$D$18))))))))+(IF(AT5*AD5&lt;0.6,'[2]E&amp;E Pricing Structure'!$D$30,IF(AT5*AD5&lt;1.2,'[2]E&amp;E Pricing Structure'!$D$31,IF(AT5*AD5&lt;1.8,'[2]E&amp;E Pricing Structure'!$D$32,IF(AT5*AD5&lt;2.7,'[2]E&amp;E Pricing Structure'!$D$33,IF(AT5*AD5&lt;4.8,'[2]E&amp;E Pricing Structure'!$D$34,IF(AT5*AD5&lt;12.5,'[2]E&amp;E Pricing Structure'!$D$35,IF(AT5*AD5&lt;50,'[2]E&amp;E Pricing Structure'!$D$36,'[2]E&amp;E Pricing Structure'!$D$37)))))))))/AD5)</f>
        <v>0.17</v>
      </c>
      <c r="BA5" s="66">
        <v>0</v>
      </c>
      <c r="BB5" s="70">
        <f t="shared" si="37"/>
        <v>0</v>
      </c>
      <c r="BC5" s="90" t="s">
        <v>77</v>
      </c>
      <c r="BD5" s="66">
        <v>0.15</v>
      </c>
      <c r="BE5" s="70">
        <f t="shared" si="38"/>
        <v>4.13</v>
      </c>
      <c r="BF5" s="70">
        <f t="shared" si="39"/>
        <v>7.33</v>
      </c>
      <c r="BG5" s="70">
        <f t="shared" si="40"/>
        <v>18.66</v>
      </c>
      <c r="BH5" s="80">
        <f t="shared" si="41"/>
        <v>0.32150000000000001</v>
      </c>
      <c r="BI5" s="70">
        <f t="shared" si="42"/>
        <v>27.5</v>
      </c>
      <c r="BJ5" s="66">
        <v>0.3</v>
      </c>
      <c r="BK5" s="70">
        <f t="shared" si="43"/>
        <v>16.5</v>
      </c>
      <c r="BL5" s="67">
        <v>5</v>
      </c>
      <c r="BM5" s="70">
        <f t="shared" si="44"/>
        <v>40.159999999999997</v>
      </c>
      <c r="BN5" s="68">
        <f t="shared" si="45"/>
        <v>0.2697</v>
      </c>
      <c r="BO5" s="67">
        <v>54.99</v>
      </c>
      <c r="BP5" s="66">
        <v>0.5</v>
      </c>
      <c r="BQ5" s="69"/>
      <c r="BR5" s="70">
        <f t="shared" si="46"/>
        <v>27.5</v>
      </c>
      <c r="BS5" s="35">
        <f t="shared" si="47"/>
        <v>69.989999999999995</v>
      </c>
      <c r="BT5" s="70">
        <f t="shared" si="48"/>
        <v>54.99</v>
      </c>
      <c r="BU5" s="81">
        <f t="shared" si="49"/>
        <v>0.58799999999999997</v>
      </c>
      <c r="BV5" s="81">
        <f t="shared" si="50"/>
        <v>0.60709999999999997</v>
      </c>
    </row>
    <row r="19" ht="78.95" customHeight="1"/>
  </sheetData>
  <sheetProtection insertRows="0" deleteRows="0" sort="0"/>
  <protectedRanges>
    <protectedRange sqref="AK2:AL2 AE2:AF2 V2:W2 BN2 AQ2:BL2 AN2 A2:F2 D6:E75 C6:C74 Y2 A6:B75 U6:BF74 F6:S74 F3 S3 L2:N2 AK4:AL4 AE4:AF4 V4:W4 BN4 AQ4:AY4 AN4 B4:C4 Y4 F5 S5 A3:A5 J2:J5 L3:M5 BA4:BL4 AZ3:AZ5 N4:S4 P2:S2 E4:F4 D3:D5" name="Range1"/>
    <protectedRange sqref="AJ2 Z2:AC2 AJ4 AC4" name="Range1_2"/>
    <protectedRange sqref="AM2 AM4" name="Range1_3"/>
    <protectedRange sqref="T2 T4" name="Range1_6"/>
    <protectedRange sqref="Y3 AK3:AL3 AE3:AF3 V3:W3 BN3 AQ3:AY3 AN3 N3:R3 B3:C3 Y5 AK5:AL5 AE5:AF5 V5:W5 BN5 AQ5:AY5 AN5 N5:R5 B5:C5 BA3:BL3 BA5:BL5 E3 E5" name="Range1_5"/>
    <protectedRange sqref="Z3:AC3 AG3:AJ3 AJ5 AG2:AI2 AC5 AG4:AI5" name="Range1_2_1"/>
    <protectedRange sqref="AM3 AM5" name="Range1_3_1"/>
    <protectedRange sqref="T3 T5" name="Range1_6_1"/>
    <protectedRange sqref="G2:I5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 E4</xm:sqref>
        </x14:dataValidation>
        <x14:dataValidation type="list" allowBlank="1" showInputMessage="1" showErrorMessage="1">
          <x14:formula1>
            <xm:f>#REF!</xm:f>
          </x14:formula1>
          <xm:sqref>S2:S5</xm:sqref>
        </x14:dataValidation>
        <x14:dataValidation type="list" allowBlank="1" showInputMessage="1" showErrorMessage="1">
          <x14:formula1>
            <xm:f>#REF!</xm:f>
          </x14:formula1>
          <xm:sqref>Y2 Y4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AF2 R2 AF4 R4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2026-07-06T06:41:27Z</dcterms:modified>
</cp:coreProperties>
</file>