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DUL">#REF!</definedName>
    <definedName name="APL">#REF!</definedName>
    <definedName name="ART">#REF!</definedName>
    <definedName name="Artwork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[1]Lists!$I$6:$I$29</definedName>
    <definedName name="Blankets_Throws">#REF!</definedName>
    <definedName name="BLK">#REF!</definedName>
    <definedName name="BRAND">[2]LIST!$D$2:$D$7</definedName>
    <definedName name="Branded">[1]Lists!$F$6:$F$38</definedName>
    <definedName name="CATEGORY">[2]Sheet1!$DW$2:$DW$3</definedName>
    <definedName name="color">[1]Lists!$J$6:$J$29</definedName>
    <definedName name="COLOR_FAMILY">'[3]x-Lists'!$AB$2:$AB$18</definedName>
    <definedName name="colour">[2]Sheet1!$EH$2:$EH$3</definedName>
    <definedName name="Cycle">[1]Lists!$E$6:$E$30</definedName>
    <definedName name="Decorative_Accessories">#REF!</definedName>
    <definedName name="Decorative_Pillows_Inserts_Covers">#REF!</definedName>
    <definedName name="den">[1]Lists!$L$6:$L$29</definedName>
    <definedName name="DesignStrat">[4]Info!$F$3:$F$5</definedName>
    <definedName name="division">'[5]X-PORTS'!$K$4:$K$12</definedName>
    <definedName name="djfkd">[6]Mapping!$AV$2:$AV$3</definedName>
    <definedName name="Down_Comforters">#REF!</definedName>
    <definedName name="Duvet_Covers">#REF!</definedName>
    <definedName name="Electrics">#REF!</definedName>
    <definedName name="FASHION">[2]LIST!$E$2:$E$7</definedName>
    <definedName name="foam">[2]Sheet1!$EC$2:$EC$3</definedName>
    <definedName name="FOBCostPerPiece">#REF!</definedName>
    <definedName name="FUR">#REF!</definedName>
    <definedName name="Home_Décor">#REF!</definedName>
    <definedName name="Home_Décor.">#REF!</definedName>
    <definedName name="INITIALBUY">[2]LIST!$G$2:$G$7</definedName>
    <definedName name="KD">[2]Sheet1!$DS$2:$DS$2</definedName>
    <definedName name="Kids_Bath">#REF!</definedName>
    <definedName name="Kids_or_Teen">#REF!</definedName>
    <definedName name="LGT">#REF!</definedName>
    <definedName name="LIFESTYLE">[2]LIST!$C$2:$C$7</definedName>
    <definedName name="Lighting_or_Candleholders">#REF!</definedName>
    <definedName name="LOCALIZATION__PRICEPOINT">'[3]x-Lists'!$Z$2:$Z$4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">#REF!</definedName>
    <definedName name="PACK">[2]Sheet1!$EE$2:$EE$3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[4]Info!$E$2:$E$49</definedName>
    <definedName name="PORT_IFF">#N/A</definedName>
    <definedName name="ports">'[5]X-PORTS'!$D$4:$D$33</definedName>
    <definedName name="PortSeqLCL">#REF!</definedName>
    <definedName name="POtype">#REF!</definedName>
    <definedName name="PRICE">[2]LIST!$B$2:$B$6</definedName>
    <definedName name="Prints">#REF!</definedName>
    <definedName name="Quilts">#REF!</definedName>
    <definedName name="RUG">#REF!</definedName>
    <definedName name="Seasonal">#REF!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THEME">'[3]x-Lists'!$AQ$2:$AQ$12</definedName>
    <definedName name="Towels_Bath_Sheets">#REF!</definedName>
    <definedName name="TREATMENT">'[3]x-Lists'!$AR$2:$AR$23</definedName>
    <definedName name="UNIT">[2]Sheet1!$EF$2:$EF$3</definedName>
    <definedName name="USPORTS">'[5]X-PORTS'!$I$5:$I$7</definedName>
    <definedName name="vlook">#REF!</definedName>
    <definedName name="WIN">#REF!</definedName>
    <definedName name="Window_Treatments_Hardware_Accessories">#REF!</definedName>
    <definedName name="Window_Treatments_Hardware_Accessories.">#REF!</definedName>
    <definedName name="wood">[2]Sheet1!$EG$2:$EG$3</definedName>
    <definedName name="World1">[1]Lists!$H$6:$H$29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w">#REF!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" i="5" l="1"/>
  <c r="AP6" i="5"/>
  <c r="AQ6" i="5" s="1"/>
  <c r="BJ7" i="5"/>
  <c r="BH7" i="5"/>
  <c r="BD7" i="5" s="1"/>
  <c r="AS7" i="5"/>
  <c r="AT7" i="5" s="1"/>
  <c r="AV7" i="5" s="1"/>
  <c r="AQ7" i="5"/>
  <c r="AE7" i="5"/>
  <c r="AY7" i="5" s="1"/>
  <c r="V7" i="5"/>
  <c r="U7" i="5"/>
  <c r="BJ6" i="5"/>
  <c r="BH6" i="5"/>
  <c r="BD6" i="5" s="1"/>
  <c r="AS6" i="5"/>
  <c r="AT6" i="5" s="1"/>
  <c r="AV6" i="5" s="1"/>
  <c r="AE6" i="5"/>
  <c r="AL6" i="5" s="1"/>
  <c r="AN6" i="5" s="1"/>
  <c r="V6" i="5"/>
  <c r="U6" i="5"/>
  <c r="BJ5" i="5"/>
  <c r="BH5" i="5"/>
  <c r="BD5" i="5" s="1"/>
  <c r="BA5" i="5"/>
  <c r="AX5" i="5"/>
  <c r="AS5" i="5"/>
  <c r="AT5" i="5" s="1"/>
  <c r="AV5" i="5" s="1"/>
  <c r="AP5" i="5"/>
  <c r="AQ5" i="5" s="1"/>
  <c r="AE5" i="5"/>
  <c r="AL5" i="5" s="1"/>
  <c r="AN5" i="5" s="1"/>
  <c r="V5" i="5"/>
  <c r="U5" i="5"/>
  <c r="BJ4" i="5"/>
  <c r="BH4" i="5"/>
  <c r="AX4" i="5" s="1"/>
  <c r="AS4" i="5"/>
  <c r="AT4" i="5" s="1"/>
  <c r="AV4" i="5" s="1"/>
  <c r="AP4" i="5"/>
  <c r="AQ4" i="5" s="1"/>
  <c r="AE4" i="5"/>
  <c r="AL4" i="5" s="1"/>
  <c r="AN4" i="5" s="1"/>
  <c r="AR4" i="5" s="1"/>
  <c r="V4" i="5"/>
  <c r="U3" i="5"/>
  <c r="BJ3" i="5"/>
  <c r="BH3" i="5"/>
  <c r="AX3" i="5" s="1"/>
  <c r="AS3" i="5"/>
  <c r="AT3" i="5" s="1"/>
  <c r="AV3" i="5" s="1"/>
  <c r="AP3" i="5"/>
  <c r="AQ3" i="5" s="1"/>
  <c r="AE3" i="5"/>
  <c r="AL3" i="5" s="1"/>
  <c r="AN3" i="5" s="1"/>
  <c r="V3" i="5"/>
  <c r="AE2" i="5"/>
  <c r="AL2" i="5" s="1"/>
  <c r="AN2" i="5" s="1"/>
  <c r="BA3" i="5" l="1"/>
  <c r="AY4" i="5"/>
  <c r="BE5" i="5"/>
  <c r="AR5" i="5"/>
  <c r="AY3" i="5"/>
  <c r="BE3" i="5" s="1"/>
  <c r="AY5" i="5"/>
  <c r="AX7" i="5"/>
  <c r="BE7" i="5" s="1"/>
  <c r="BA7" i="5"/>
  <c r="BA6" i="5"/>
  <c r="AX6" i="5"/>
  <c r="AR6" i="5"/>
  <c r="AL7" i="5"/>
  <c r="AN7" i="5" s="1"/>
  <c r="AR7" i="5" s="1"/>
  <c r="AY6" i="5"/>
  <c r="BA4" i="5"/>
  <c r="BE4" i="5" s="1"/>
  <c r="BF4" i="5" s="1"/>
  <c r="BD4" i="5"/>
  <c r="BD3" i="5"/>
  <c r="AR3" i="5"/>
  <c r="AY2" i="5"/>
  <c r="BF5" i="5" l="1"/>
  <c r="BL5" i="5"/>
  <c r="BM5" i="5" s="1"/>
  <c r="BG5" i="5"/>
  <c r="BF3" i="5"/>
  <c r="BL3" i="5" s="1"/>
  <c r="BM3" i="5" s="1"/>
  <c r="BE6" i="5"/>
  <c r="BF6" i="5" s="1"/>
  <c r="BG6" i="5" s="1"/>
  <c r="BF7" i="5"/>
  <c r="BL7" i="5" s="1"/>
  <c r="BM7" i="5" s="1"/>
  <c r="BL4" i="5"/>
  <c r="BM4" i="5" s="1"/>
  <c r="BG4" i="5"/>
  <c r="BG3" i="5"/>
  <c r="BG7" i="5" l="1"/>
  <c r="BL6" i="5"/>
  <c r="BM6" i="5" s="1"/>
  <c r="AP2" i="5" l="1"/>
  <c r="AS2" i="5" l="1"/>
  <c r="AT2" i="5" s="1"/>
  <c r="AV2" i="5" s="1"/>
  <c r="BH2" i="5" l="1"/>
  <c r="V2" i="5"/>
  <c r="BS3" i="5" l="1"/>
  <c r="BR3" i="5" s="1"/>
  <c r="BS4" i="5"/>
  <c r="BR4" i="5" s="1"/>
  <c r="BS5" i="5"/>
  <c r="BR5" i="5" s="1"/>
  <c r="BS6" i="5"/>
  <c r="BR6" i="5" s="1"/>
  <c r="BS7" i="5"/>
  <c r="BR7" i="5" s="1"/>
  <c r="BS2" i="5"/>
  <c r="BR2" i="5" s="1"/>
  <c r="BJ2" i="5"/>
  <c r="BQ2" i="5"/>
  <c r="AQ2" i="5"/>
  <c r="AR2" i="5" s="1"/>
  <c r="BU2" i="5" l="1"/>
  <c r="BQ6" i="5"/>
  <c r="BT6" i="5" s="1"/>
  <c r="BQ7" i="5"/>
  <c r="BT7" i="5" s="1"/>
  <c r="BQ4" i="5"/>
  <c r="BT4" i="5" s="1"/>
  <c r="BQ5" i="5"/>
  <c r="BT5" i="5" s="1"/>
  <c r="BQ3" i="5"/>
  <c r="BT3" i="5" s="1"/>
  <c r="BU7" i="5" l="1"/>
  <c r="BU6" i="5"/>
  <c r="BU4" i="5"/>
  <c r="BU5" i="5"/>
  <c r="BU3" i="5"/>
  <c r="BT2" i="5" l="1"/>
  <c r="AX2" i="5" l="1"/>
  <c r="BA2" i="5"/>
  <c r="BD2" i="5"/>
  <c r="BE2" i="5" l="1"/>
  <c r="BF2" i="5" s="1"/>
  <c r="BL2" i="5"/>
  <c r="BM2" i="5" s="1"/>
  <c r="BG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Y1" authorId="0" shapeId="0">
      <text>
        <r>
          <rPr>
            <sz val="11"/>
            <rFont val="Calibri"/>
            <family val="2"/>
          </rPr>
          <t>([Receiving Rate]+[Shipping Rate])/[Case Pack]</t>
        </r>
      </text>
    </comment>
    <comment ref="BA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D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E1" authorId="0" shapeId="0">
      <text>
        <r>
          <rPr>
            <sz val="11"/>
            <rFont val="Calibri"/>
            <family val="2"/>
          </rPr>
          <t>[Ship8 Charge $]+[DA $]+[Warehouse Handling $]+[Marketing $]+[Other Load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H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J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L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M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Q1" authorId="0" shapeId="0">
      <text>
        <r>
          <rPr>
            <sz val="11"/>
            <rFont val="Calibri"/>
            <family val="2"/>
          </rPr>
          <t>=[Standard Price]</t>
        </r>
      </text>
    </comment>
    <comment ref="BR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S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T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U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<sst xmlns="http://schemas.openxmlformats.org/spreadsheetml/2006/main" count="162" uniqueCount="103">
  <si>
    <t>Yes</t>
  </si>
  <si>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</si>
  <si>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</si>
  <si>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</si>
  <si>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</si>
  <si>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</si>
  <si>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</si>
  <si>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</si>
  <si>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</si>
  <si>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</si>
  <si>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</si>
  <si>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</si>
  <si>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</si>
  <si>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</si>
  <si>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</si>
  <si>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</si>
  <si>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</si>
  <si>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</si>
  <si>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</si>
  <si>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</si>
  <si>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</si>
  <si>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</si>
  <si>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</si>
  <si>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</si>
  <si>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</si>
  <si>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</si>
  <si>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</si>
  <si>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</si>
  <si>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</si>
  <si>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</si>
  <si>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</si>
  <si>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</si>
  <si>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</si>
  <si>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</si>
  <si>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</si>
  <si>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</si>
  <si>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</si>
  <si>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Total Quantity</t>
  </si>
  <si>
    <t>DUVET&amp;DUVET SET</t>
  </si>
  <si>
    <t>UCCPM Price</t>
  </si>
  <si>
    <t>Customer Item#</t>
  </si>
  <si>
    <t>JLA Domestic MU%</t>
  </si>
  <si>
    <t>Trim</t>
  </si>
  <si>
    <t>Material-Short</t>
  </si>
  <si>
    <t>SHOWER CURTAIN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</si>
  <si>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</si>
  <si>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</si>
  <si>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</si>
  <si>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</si>
  <si>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</si>
  <si>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</si>
  <si>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</si>
  <si>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</si>
  <si>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</si>
  <si>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</si>
  <si>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</si>
  <si>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</si>
  <si>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</si>
  <si>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</si>
  <si>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</si>
  <si>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</si>
  <si>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</si>
  <si>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</si>
  <si>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</si>
  <si>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</si>
  <si>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</si>
  <si>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</si>
  <si>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</si>
  <si>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</si>
  <si>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</si>
  <si>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</si>
  <si>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</si>
  <si>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</si>
  <si>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Average Load Marketing</t>
  </si>
  <si>
    <t>Cubic cm per Item</t>
  </si>
  <si>
    <t>Cubic ft per Item</t>
  </si>
  <si>
    <t>Ship8 Charge Rate</t>
  </si>
  <si>
    <t>Ship8 Charge $</t>
  </si>
  <si>
    <t>Cotton</t>
  </si>
  <si>
    <t>Warehouse Handling $</t>
  </si>
  <si>
    <t>PalmTree </t>
    <phoneticPr fontId="11" type="noConversion"/>
  </si>
  <si>
    <t>3pcs Duvet Set</t>
    <phoneticPr fontId="11" type="noConversion"/>
  </si>
  <si>
    <r>
      <t>Fabric: 260TC 100% cotton jacquard (imported cotton), pre-washed. back: 180TC solid percale, (imported cotton)
Duvet: 2" flange on three sides, 2" self hem on the bottom with hidden buttons (9 on Full/Queen; 11 on King). 2*10" HH logo tie on the each corners. 
Shams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2" flange all around, 6" open back and 8" overlap on the back</t>
    </r>
    <phoneticPr fontId="11" type="noConversion"/>
  </si>
  <si>
    <t>Full/Queen
1 Duvet 90"W x  94"L + 2"
2 Sham 20"W x 26"L + 2"(2)</t>
    <phoneticPr fontId="11" type="noConversion"/>
  </si>
  <si>
    <t>Navy</t>
    <phoneticPr fontId="11" type="noConversion"/>
  </si>
  <si>
    <t>6302.31.9050</t>
    <phoneticPr fontId="11" type="noConversion"/>
  </si>
  <si>
    <t>Sage</t>
    <phoneticPr fontId="11" type="noConversion"/>
  </si>
  <si>
    <t>King/Cal King
1 Duvet 108"W x  94"L + 2"
2 Sham 20"W x 36"L + 2"(2)</t>
    <phoneticPr fontId="11" type="noConversion"/>
  </si>
  <si>
    <t>1pc Shower Curtain</t>
    <phoneticPr fontId="11" type="noConversion"/>
  </si>
  <si>
    <t>Fabric: 260TC 100% cotton jacquard (imported cotton), pre-washed. Spec: Double fold 2” at the top head without lining. 
Other three sides fold 0.5“, totally 12 holes</t>
    <phoneticPr fontId="11" type="noConversion"/>
  </si>
  <si>
    <t xml:space="preserve">
1 Shower Curtain 72"W x  72"L </t>
    <phoneticPr fontId="11" type="noConversion"/>
  </si>
  <si>
    <t>6303.91.0010</t>
    <phoneticPr fontId="11" type="noConversion"/>
  </si>
  <si>
    <t>HHD12-2070</t>
    <phoneticPr fontId="11" type="noConversion"/>
  </si>
  <si>
    <t>HHD12-2071</t>
    <phoneticPr fontId="11" type="noConversion"/>
  </si>
  <si>
    <t>HHD12-2072</t>
    <phoneticPr fontId="11" type="noConversion"/>
  </si>
  <si>
    <t>HHD12-2073</t>
    <phoneticPr fontId="11" type="noConversion"/>
  </si>
  <si>
    <t>HHD70-2074</t>
    <phoneticPr fontId="11" type="noConversion"/>
  </si>
  <si>
    <t>HHD70-2075</t>
    <phoneticPr fontId="11" type="noConversion"/>
  </si>
  <si>
    <t>3pcs Duvet Set</t>
    <phoneticPr fontId="11" type="noConversion"/>
  </si>
  <si>
    <t>100% cotton 3pcs Duvet Set</t>
    <phoneticPr fontId="11" type="noConversion"/>
  </si>
  <si>
    <t>100% cotton 3pcs Duvet Set</t>
    <phoneticPr fontId="11" type="noConversion"/>
  </si>
  <si>
    <t>1pc Shower Curtain</t>
    <phoneticPr fontId="11" type="noConversion"/>
  </si>
  <si>
    <t>100% cotton Shower Curtain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</si>
</sst>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  <numFmt numFmtId="185" formatCode="\$#,##0.00"/>
  </numFmts>
  <fonts count="1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  <font>
      <sz val="11"/>
      <name val="宋体"/>
      <family val="2"/>
      <charset val="134"/>
    </font>
    <font>
      <sz val="11"/>
      <color theme="1" tint="4.9989318521683403E-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rgb="FFFFFF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" fillId="0" borderId="0"/>
  </cellStyleXfs>
  <cellXfs count="86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3" fontId="9" fillId="0" borderId="1" xfId="1" applyNumberFormat="1" applyFont="1" applyBorder="1" applyAlignment="1">
      <alignment wrapText="1"/>
    </xf>
    <xf numFmtId="183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3" fontId="6" fillId="0" borderId="4" xfId="1" applyNumberFormat="1" applyFont="1" applyBorder="1" applyAlignment="1">
      <alignment horizontal="center" wrapText="1"/>
    </xf>
    <xf numFmtId="0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5" fontId="3" fillId="9" borderId="4" xfId="4" applyNumberFormat="1" applyFill="1" applyBorder="1" applyAlignment="1">
      <alignment horizontal="center" vertical="center"/>
    </xf>
    <xf numFmtId="0" fontId="18" fillId="0" borderId="4" xfId="4" applyFont="1" applyBorder="1" applyAlignment="1">
      <alignment horizontal="left" vertical="center" wrapText="1"/>
    </xf>
    <xf numFmtId="0" fontId="3" fillId="0" borderId="1" xfId="4" applyBorder="1" applyAlignment="1">
      <alignment horizontal="center" vertical="center"/>
    </xf>
    <xf numFmtId="0" fontId="3" fillId="0" borderId="1" xfId="4" applyBorder="1" applyAlignment="1">
      <alignment vertical="center"/>
    </xf>
    <xf numFmtId="178" fontId="3" fillId="0" borderId="1" xfId="4" applyNumberFormat="1" applyBorder="1" applyAlignment="1">
      <alignment vertical="center"/>
    </xf>
    <xf numFmtId="0" fontId="3" fillId="0" borderId="1" xfId="4" applyBorder="1" applyAlignment="1">
      <alignment horizontal="center" vertical="center" wrapText="1"/>
    </xf>
    <xf numFmtId="0" fontId="3" fillId="0" borderId="4" xfId="4" applyBorder="1" applyAlignment="1">
      <alignment vertical="center"/>
    </xf>
    <xf numFmtId="184" fontId="3" fillId="0" borderId="1" xfId="4" applyNumberFormat="1" applyBorder="1" applyAlignment="1">
      <alignment vertical="center"/>
    </xf>
    <xf numFmtId="1" fontId="3" fillId="0" borderId="1" xfId="4" applyNumberFormat="1" applyBorder="1" applyAlignment="1">
      <alignment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vertical="center"/>
    </xf>
    <xf numFmtId="2" fontId="3" fillId="0" borderId="5" xfId="4" applyNumberFormat="1" applyBorder="1" applyAlignment="1">
      <alignment vertical="center"/>
    </xf>
    <xf numFmtId="177" fontId="3" fillId="0" borderId="1" xfId="4" applyNumberFormat="1" applyBorder="1" applyAlignment="1">
      <alignment vertical="center"/>
    </xf>
    <xf numFmtId="181" fontId="3" fillId="0" borderId="1" xfId="4" applyNumberFormat="1" applyBorder="1" applyAlignment="1">
      <alignment vertical="center"/>
    </xf>
    <xf numFmtId="2" fontId="3" fillId="0" borderId="4" xfId="4" applyNumberFormat="1" applyBorder="1" applyAlignment="1">
      <alignment vertical="center"/>
    </xf>
    <xf numFmtId="183" fontId="3" fillId="2" borderId="1" xfId="4" applyNumberFormat="1" applyFill="1" applyBorder="1" applyAlignment="1">
      <alignment vertical="center"/>
    </xf>
    <xf numFmtId="183" fontId="3" fillId="0" borderId="4" xfId="4" applyNumberFormat="1" applyBorder="1" applyAlignment="1">
      <alignment vertical="center"/>
    </xf>
    <xf numFmtId="2" fontId="3" fillId="0" borderId="1" xfId="4" applyNumberFormat="1" applyBorder="1" applyAlignment="1">
      <alignment vertical="center"/>
    </xf>
    <xf numFmtId="1" fontId="3" fillId="2" borderId="1" xfId="4" applyNumberFormat="1" applyFill="1" applyBorder="1" applyAlignment="1">
      <alignment vertical="center"/>
    </xf>
    <xf numFmtId="3" fontId="3" fillId="0" borderId="1" xfId="4" applyNumberFormat="1" applyBorder="1" applyAlignment="1">
      <alignment vertical="center"/>
    </xf>
    <xf numFmtId="177" fontId="3" fillId="2" borderId="1" xfId="4" applyNumberFormat="1" applyFill="1" applyBorder="1" applyAlignment="1">
      <alignment vertical="center"/>
    </xf>
    <xf numFmtId="180" fontId="3" fillId="0" borderId="1" xfId="4" applyNumberFormat="1" applyBorder="1" applyAlignment="1">
      <alignment vertical="center"/>
    </xf>
    <xf numFmtId="10" fontId="3" fillId="0" borderId="1" xfId="4" applyNumberFormat="1" applyBorder="1" applyAlignment="1">
      <alignment vertical="center"/>
    </xf>
    <xf numFmtId="177" fontId="15" fillId="0" borderId="1" xfId="4" applyNumberFormat="1" applyFont="1" applyBorder="1" applyAlignment="1">
      <alignment vertical="center"/>
    </xf>
    <xf numFmtId="10" fontId="15" fillId="0" borderId="1" xfId="4" applyNumberFormat="1" applyFont="1" applyBorder="1" applyAlignment="1">
      <alignment vertical="center"/>
    </xf>
    <xf numFmtId="10" fontId="0" fillId="2" borderId="1" xfId="5" applyNumberFormat="1" applyFont="1" applyFill="1" applyBorder="1" applyAlignment="1">
      <alignment vertical="center"/>
    </xf>
    <xf numFmtId="10" fontId="3" fillId="0" borderId="4" xfId="4" applyNumberFormat="1" applyBorder="1" applyAlignment="1">
      <alignment vertical="center"/>
    </xf>
    <xf numFmtId="177" fontId="3" fillId="0" borderId="4" xfId="4" applyNumberFormat="1" applyBorder="1" applyAlignment="1">
      <alignment vertical="center"/>
    </xf>
    <xf numFmtId="10" fontId="3" fillId="2" borderId="5" xfId="4" applyNumberFormat="1" applyFill="1" applyBorder="1" applyAlignment="1">
      <alignment vertical="center"/>
    </xf>
    <xf numFmtId="10" fontId="15" fillId="0" borderId="4" xfId="4" applyNumberFormat="1" applyFont="1" applyBorder="1" applyAlignment="1">
      <alignment vertical="center"/>
    </xf>
    <xf numFmtId="177" fontId="3" fillId="0" borderId="0" xfId="4" applyNumberFormat="1" applyAlignment="1">
      <alignment vertical="center"/>
    </xf>
    <xf numFmtId="0" fontId="3" fillId="0" borderId="0" xfId="4" applyAlignment="1">
      <alignment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0" fontId="3" fillId="0" borderId="1" xfId="4" applyBorder="1" applyAlignment="1">
      <alignment vertical="center" wrapText="1"/>
    </xf>
  </cellXfs>
  <cellStyles count="27">
    <cellStyle name="Currency 2 2 2" xfId="8"/>
    <cellStyle name="Normal 1 2" xfId="20"/>
    <cellStyle name="Normal 2" xfId="4"/>
    <cellStyle name="Normal 2 18 2" xfId="1"/>
    <cellStyle name="Normal 3" xfId="26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101600</xdr:rowOff>
    </xdr:from>
    <xdr:to>
      <xdr:col>1</xdr:col>
      <xdr:colOff>986108</xdr:colOff>
      <xdr:row>1</xdr:row>
      <xdr:rowOff>1092200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4A13FDB8-2FEB-41BA-849C-76E5107793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27" b="13409"/>
        <a:stretch>
          <a:fillRect/>
        </a:stretch>
      </xdr:blipFill>
      <xdr:spPr>
        <a:xfrm>
          <a:off x="882650" y="1390650"/>
          <a:ext cx="814658" cy="990600"/>
        </a:xfrm>
        <a:prstGeom prst="rect">
          <a:avLst/>
        </a:prstGeom>
      </xdr:spPr>
    </xdr:pic>
    <xdr:clientData/>
  </xdr:twoCellAnchor>
  <xdr:twoCellAnchor>
    <xdr:from>
      <xdr:col>1</xdr:col>
      <xdr:colOff>142127</xdr:colOff>
      <xdr:row>3</xdr:row>
      <xdr:rowOff>152400</xdr:rowOff>
    </xdr:from>
    <xdr:to>
      <xdr:col>1</xdr:col>
      <xdr:colOff>964044</xdr:colOff>
      <xdr:row>3</xdr:row>
      <xdr:rowOff>1046868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48E0BAEA-61A1-4AB5-8C57-63A3EC2EA5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27" b="15013"/>
        <a:stretch>
          <a:fillRect/>
        </a:stretch>
      </xdr:blipFill>
      <xdr:spPr>
        <a:xfrm>
          <a:off x="853327" y="3752850"/>
          <a:ext cx="821917" cy="894468"/>
        </a:xfrm>
        <a:prstGeom prst="rect">
          <a:avLst/>
        </a:prstGeom>
      </xdr:spPr>
    </xdr:pic>
    <xdr:clientData/>
  </xdr:twoCellAnchor>
  <xdr:twoCellAnchor>
    <xdr:from>
      <xdr:col>1</xdr:col>
      <xdr:colOff>146050</xdr:colOff>
      <xdr:row>2</xdr:row>
      <xdr:rowOff>76200</xdr:rowOff>
    </xdr:from>
    <xdr:to>
      <xdr:col>1</xdr:col>
      <xdr:colOff>960708</xdr:colOff>
      <xdr:row>2</xdr:row>
      <xdr:rowOff>1066800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BDFB5A15-5738-41F2-9AE3-3F568D2F5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27" b="13409"/>
        <a:stretch>
          <a:fillRect/>
        </a:stretch>
      </xdr:blipFill>
      <xdr:spPr>
        <a:xfrm>
          <a:off x="857250" y="2520950"/>
          <a:ext cx="814658" cy="9906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</xdr:row>
      <xdr:rowOff>165100</xdr:rowOff>
    </xdr:from>
    <xdr:to>
      <xdr:col>1</xdr:col>
      <xdr:colOff>942567</xdr:colOff>
      <xdr:row>4</xdr:row>
      <xdr:rowOff>1059568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C8136A29-46E9-4C1D-AB8C-1855B49347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27" b="15013"/>
        <a:stretch>
          <a:fillRect/>
        </a:stretch>
      </xdr:blipFill>
      <xdr:spPr>
        <a:xfrm>
          <a:off x="831850" y="4921250"/>
          <a:ext cx="821917" cy="894468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</xdr:row>
      <xdr:rowOff>76396</xdr:rowOff>
    </xdr:from>
    <xdr:to>
      <xdr:col>1</xdr:col>
      <xdr:colOff>901700</xdr:colOff>
      <xdr:row>6</xdr:row>
      <xdr:rowOff>1131216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3DA282D2-CF0C-0125-2B9E-F41EB9B58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" y="7169346"/>
          <a:ext cx="781050" cy="1054820"/>
        </a:xfrm>
        <a:prstGeom prst="rect">
          <a:avLst/>
        </a:prstGeom>
      </xdr:spPr>
    </xdr:pic>
    <xdr:clientData/>
  </xdr:twoCellAnchor>
  <xdr:twoCellAnchor>
    <xdr:from>
      <xdr:col>1</xdr:col>
      <xdr:colOff>135361</xdr:colOff>
      <xdr:row>5</xdr:row>
      <xdr:rowOff>69591</xdr:rowOff>
    </xdr:from>
    <xdr:to>
      <xdr:col>1</xdr:col>
      <xdr:colOff>920750</xdr:colOff>
      <xdr:row>5</xdr:row>
      <xdr:rowOff>1130271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097F0426-E197-7670-0836-A1DB2DFBC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561" y="5994141"/>
          <a:ext cx="785389" cy="1060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Documents%20and%20Settings\kathy.li\Local%20Settings\Temporary%20Internet%20Files\Content.Outlook\7E91LGYA\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Users\gaellyns\Desktop\Copy%20of%20PO%20Worksheet%20Bundle16-Linens-Textiles-02_23_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Fall%2012%20development\D65%20Holiday\Line%20Pl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Documents%20and%20Settings\zhangjun\Local%20Settings\Temporary%20Internet%20Files\Content.Outlook\YD2T8D84\ee%20cold%20weather%20ex%206-28%20%207-26%20-30%209-27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ather.zhu/Downloads/2026_HHL_Domestic_-3PC_Hayden_Quilt_Set_2604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&amp;E Pricing Structure"/>
      <sheetName val="ValueSelect"/>
    </sheetNames>
    <sheetDataSet>
      <sheetData sheetId="0" refreshError="1"/>
      <sheetData sheetId="1" refreshError="1"/>
      <sheetData sheetId="2" refreshError="1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7"/>
  <sheetViews>
    <sheetView tabSelected="1" zoomScaleNormal="100" workbookViewId="0">
      <selection activeCell="A8" sqref="A8:XFD51"/>
    </sheetView>
  </sheetViews>
  <sheetFormatPr defaultColWidth="9.140625" defaultRowHeight="15"/>
  <cols>
    <col min="1" max="1" width="10.140625" style="1" customWidth="1"/>
    <col min="2" max="2" width="15.5703125" style="2" customWidth="1"/>
    <col min="3" max="3" width="12.42578125" style="2" customWidth="1"/>
    <col min="4" max="4" width="12.85546875" style="2" customWidth="1"/>
    <col min="5" max="5" width="9.140625" style="2" customWidth="1"/>
    <col min="6" max="6" width="18.5703125" style="2" customWidth="1"/>
    <col min="7" max="7" width="9.140625" style="2" customWidth="1"/>
    <col min="8" max="8" width="27.7109375" style="2" bestFit="1" customWidth="1"/>
    <col min="9" max="9" width="14.5703125" style="2" customWidth="1"/>
    <col min="10" max="10" width="35.5703125" style="2" customWidth="1"/>
    <col min="11" max="11" width="12.42578125" style="2" customWidth="1"/>
    <col min="12" max="12" width="25.140625" style="2" customWidth="1"/>
    <col min="13" max="13" width="6.85546875" style="2" customWidth="1"/>
    <col min="14" max="14" width="8.85546875" style="2" customWidth="1"/>
    <col min="15" max="15" width="12.5703125" style="2" bestFit="1" customWidth="1"/>
    <col min="16" max="16" width="8.85546875" style="2" customWidth="1"/>
    <col min="17" max="17" width="8.85546875" style="5" customWidth="1"/>
    <col min="18" max="18" width="11.140625" style="5" customWidth="1"/>
    <col min="19" max="19" width="9.42578125" style="2" customWidth="1"/>
    <col min="20" max="20" width="11.7109375" style="24" customWidth="1"/>
    <col min="21" max="21" width="8.140625" style="26" customWidth="1"/>
    <col min="22" max="23" width="8.7109375" style="23" customWidth="1"/>
    <col min="24" max="24" width="12.42578125" style="26" customWidth="1"/>
    <col min="25" max="25" width="9.85546875" style="26" customWidth="1"/>
    <col min="26" max="26" width="9" style="26" customWidth="1"/>
    <col min="27" max="27" width="6.28515625" style="24" customWidth="1"/>
    <col min="28" max="28" width="7.85546875" style="23" customWidth="1"/>
    <col min="29" max="29" width="11.42578125" style="23" customWidth="1"/>
    <col min="30" max="30" width="9.85546875" style="24" customWidth="1"/>
    <col min="31" max="32" width="7.85546875" style="2" customWidth="1"/>
    <col min="33" max="33" width="9" style="26" customWidth="1"/>
    <col min="34" max="34" width="9" style="24" customWidth="1"/>
    <col min="35" max="35" width="9" style="23" customWidth="1"/>
    <col min="36" max="36" width="10" style="31" customWidth="1"/>
    <col min="37" max="37" width="9" style="5" customWidth="1"/>
    <col min="38" max="38" width="14.140625" style="2" customWidth="1"/>
    <col min="39" max="39" width="8.42578125" style="4" customWidth="1"/>
    <col min="40" max="40" width="10.7109375" style="5" customWidth="1"/>
    <col min="41" max="41" width="11.28515625" style="5" customWidth="1"/>
    <col min="42" max="42" width="11.5703125" style="5" customWidth="1"/>
    <col min="43" max="43" width="8.28515625" style="5" customWidth="1"/>
    <col min="44" max="44" width="11.5703125" style="4" customWidth="1"/>
    <col min="45" max="46" width="11.5703125" style="23" customWidth="1"/>
    <col min="47" max="47" width="9.140625" style="23" customWidth="1"/>
    <col min="48" max="48" width="8.140625" style="4" customWidth="1"/>
    <col min="49" max="49" width="10.85546875" style="5" customWidth="1"/>
    <col min="50" max="50" width="8.140625" style="4" customWidth="1"/>
    <col min="51" max="51" width="10.7109375" style="4" customWidth="1"/>
    <col min="52" max="52" width="9.28515625" style="5" customWidth="1"/>
    <col min="53" max="53" width="6.85546875" style="5" customWidth="1"/>
    <col min="54" max="54" width="9.140625" style="5" customWidth="1"/>
    <col min="55" max="55" width="7.42578125" style="5" customWidth="1"/>
    <col min="56" max="56" width="7.7109375" style="5" customWidth="1"/>
    <col min="57" max="57" width="11.42578125" style="5" customWidth="1"/>
    <col min="58" max="58" width="11.85546875" style="2" customWidth="1"/>
    <col min="59" max="59" width="11.28515625" style="28" customWidth="1"/>
    <col min="60" max="60" width="9.85546875" style="5" customWidth="1"/>
    <col min="61" max="61" width="15" style="4" customWidth="1"/>
    <col min="62" max="62" width="10.140625" style="5" customWidth="1"/>
    <col min="63" max="63" width="8.85546875" style="5" customWidth="1"/>
    <col min="64" max="64" width="10.85546875" style="5" customWidth="1"/>
    <col min="65" max="65" width="8.140625" style="4" customWidth="1"/>
    <col min="66" max="68" width="10.42578125" style="5" customWidth="1"/>
    <col min="69" max="69" width="12.42578125" style="2" customWidth="1"/>
    <col min="70" max="70" width="10.42578125" style="2" customWidth="1"/>
    <col min="71" max="71" width="9.5703125" style="2" customWidth="1"/>
    <col min="72" max="72" width="13.42578125" style="2" customWidth="1"/>
    <col min="73" max="73" width="13.42578125" style="4" customWidth="1"/>
    <col min="74" max="16384" width="9.140625" style="2"/>
  </cols>
  <sheetData>
    <row r="1" spans="1:73" ht="57.95" customHeight="1">
      <c r="A1" s="6" t="s">
        <v>7</v>
      </c>
      <c r="B1" s="6" t="s">
        <v>8</v>
      </c>
      <c r="C1" s="7" t="s">
        <v>9</v>
      </c>
      <c r="D1" s="8" t="s">
        <v>1</v>
      </c>
      <c r="E1" s="8" t="s">
        <v>3</v>
      </c>
      <c r="F1" s="9" t="s">
        <v>10</v>
      </c>
      <c r="G1" s="7" t="s">
        <v>11</v>
      </c>
      <c r="H1" s="10" t="s">
        <v>12</v>
      </c>
      <c r="I1" s="10" t="s">
        <v>13</v>
      </c>
      <c r="J1" s="10" t="s">
        <v>14</v>
      </c>
      <c r="K1" s="32" t="s">
        <v>43</v>
      </c>
      <c r="L1" s="10" t="s">
        <v>15</v>
      </c>
      <c r="M1" s="10" t="s">
        <v>16</v>
      </c>
      <c r="N1" s="7" t="s">
        <v>42</v>
      </c>
      <c r="O1" s="7" t="s">
        <v>17</v>
      </c>
      <c r="P1" s="7" t="s">
        <v>18</v>
      </c>
      <c r="Q1" s="7" t="s">
        <v>40</v>
      </c>
      <c r="R1" s="47" t="s">
        <v>70</v>
      </c>
      <c r="S1" s="10" t="s">
        <v>19</v>
      </c>
      <c r="T1" s="13" t="s">
        <v>37</v>
      </c>
      <c r="U1" s="33" t="s">
        <v>39</v>
      </c>
      <c r="V1" s="44" t="s">
        <v>64</v>
      </c>
      <c r="W1" s="34" t="s">
        <v>46</v>
      </c>
      <c r="X1" s="43" t="s">
        <v>45</v>
      </c>
      <c r="Y1" s="11" t="s">
        <v>2</v>
      </c>
      <c r="Z1" s="25" t="s">
        <v>20</v>
      </c>
      <c r="AA1" s="25" t="s">
        <v>21</v>
      </c>
      <c r="AB1" s="25" t="s">
        <v>22</v>
      </c>
      <c r="AC1" s="48" t="s">
        <v>71</v>
      </c>
      <c r="AD1" s="13" t="s">
        <v>23</v>
      </c>
      <c r="AE1" s="30" t="s">
        <v>24</v>
      </c>
      <c r="AF1" s="46" t="s">
        <v>69</v>
      </c>
      <c r="AG1" s="25" t="s">
        <v>65</v>
      </c>
      <c r="AH1" s="25" t="s">
        <v>66</v>
      </c>
      <c r="AI1" s="25" t="s">
        <v>67</v>
      </c>
      <c r="AJ1" s="12" t="s">
        <v>68</v>
      </c>
      <c r="AK1" s="14" t="s">
        <v>25</v>
      </c>
      <c r="AL1" s="15" t="s">
        <v>26</v>
      </c>
      <c r="AM1" s="6" t="s">
        <v>27</v>
      </c>
      <c r="AN1" s="16" t="s">
        <v>28</v>
      </c>
      <c r="AO1" s="6" t="s">
        <v>29</v>
      </c>
      <c r="AP1" s="17" t="s">
        <v>30</v>
      </c>
      <c r="AQ1" s="18" t="s">
        <v>31</v>
      </c>
      <c r="AR1" s="16" t="s">
        <v>32</v>
      </c>
      <c r="AS1" s="50" t="s">
        <v>74</v>
      </c>
      <c r="AT1" s="50" t="s">
        <v>75</v>
      </c>
      <c r="AU1" s="12" t="s">
        <v>76</v>
      </c>
      <c r="AV1" s="16" t="s">
        <v>77</v>
      </c>
      <c r="AW1" s="17" t="s">
        <v>33</v>
      </c>
      <c r="AX1" s="16" t="s">
        <v>34</v>
      </c>
      <c r="AY1" s="16" t="s">
        <v>79</v>
      </c>
      <c r="AZ1" s="17" t="s">
        <v>51</v>
      </c>
      <c r="BA1" s="16" t="s">
        <v>50</v>
      </c>
      <c r="BB1" s="27" t="s">
        <v>47</v>
      </c>
      <c r="BC1" s="17" t="s">
        <v>48</v>
      </c>
      <c r="BD1" s="16" t="s">
        <v>49</v>
      </c>
      <c r="BE1" s="16" t="s">
        <v>35</v>
      </c>
      <c r="BF1" s="29" t="s">
        <v>36</v>
      </c>
      <c r="BG1" s="19" t="s">
        <v>41</v>
      </c>
      <c r="BH1" s="45" t="s">
        <v>52</v>
      </c>
      <c r="BI1" s="35" t="s">
        <v>54</v>
      </c>
      <c r="BJ1" s="16" t="s">
        <v>55</v>
      </c>
      <c r="BK1" s="36" t="s">
        <v>56</v>
      </c>
      <c r="BL1" s="29" t="s">
        <v>57</v>
      </c>
      <c r="BM1" s="49" t="s">
        <v>58</v>
      </c>
      <c r="BN1" s="38" t="s">
        <v>53</v>
      </c>
      <c r="BO1" s="38" t="s">
        <v>72</v>
      </c>
      <c r="BP1" s="37"/>
      <c r="BQ1" s="40" t="s">
        <v>59</v>
      </c>
      <c r="BR1" s="41" t="s">
        <v>61</v>
      </c>
      <c r="BS1" s="40" t="s">
        <v>60</v>
      </c>
      <c r="BT1" s="41" t="s">
        <v>63</v>
      </c>
      <c r="BU1" s="42" t="s">
        <v>62</v>
      </c>
    </row>
    <row r="2" spans="1:73" s="82" customFormat="1" ht="90.95" customHeight="1">
      <c r="A2" s="53">
        <v>1</v>
      </c>
      <c r="B2" s="54"/>
      <c r="C2" s="54"/>
      <c r="D2" s="54" t="s">
        <v>5</v>
      </c>
      <c r="E2" s="54"/>
      <c r="F2" s="54" t="s">
        <v>38</v>
      </c>
      <c r="G2" s="55" t="s">
        <v>80</v>
      </c>
      <c r="H2" s="54" t="s">
        <v>99</v>
      </c>
      <c r="I2" s="54" t="s">
        <v>98</v>
      </c>
      <c r="J2" s="56" t="s">
        <v>82</v>
      </c>
      <c r="K2" s="57" t="s">
        <v>78</v>
      </c>
      <c r="L2" s="52" t="s">
        <v>83</v>
      </c>
      <c r="M2" s="54" t="s">
        <v>84</v>
      </c>
      <c r="N2" s="57"/>
      <c r="O2" s="54" t="s">
        <v>92</v>
      </c>
      <c r="P2" s="58"/>
      <c r="Q2" s="54"/>
      <c r="R2" s="57"/>
      <c r="S2" s="54" t="s">
        <v>6</v>
      </c>
      <c r="T2" s="59">
        <v>152</v>
      </c>
      <c r="U2" s="60">
        <v>21.76</v>
      </c>
      <c r="V2" s="61">
        <f t="shared" ref="V2:V7" si="0">IF(W2="","",X2*W2)</f>
        <v>176.33</v>
      </c>
      <c r="W2" s="62">
        <v>7.7</v>
      </c>
      <c r="X2" s="63">
        <v>22.9</v>
      </c>
      <c r="Y2" s="54" t="s">
        <v>4</v>
      </c>
      <c r="Z2" s="64">
        <v>40</v>
      </c>
      <c r="AA2" s="64">
        <v>45</v>
      </c>
      <c r="AB2" s="64">
        <v>68</v>
      </c>
      <c r="AC2" s="65"/>
      <c r="AD2" s="59">
        <v>4</v>
      </c>
      <c r="AE2" s="66">
        <f t="shared" ref="AE2:AE7" si="1">IF(Z2="","",Z2*AA2*AB2/1000000*35.3 )</f>
        <v>4.3209999999999997</v>
      </c>
      <c r="AF2" s="67" t="s">
        <v>0</v>
      </c>
      <c r="AG2" s="64">
        <v>13</v>
      </c>
      <c r="AH2" s="64">
        <v>17</v>
      </c>
      <c r="AI2" s="64">
        <v>5.5</v>
      </c>
      <c r="AJ2" s="68">
        <v>4.9000000000000004</v>
      </c>
      <c r="AK2" s="68">
        <v>65</v>
      </c>
      <c r="AL2" s="69">
        <f t="shared" ref="AL2:AL7" si="2">IF(AD2="","",AK2/AE2*35.3 *AD2)</f>
        <v>2124</v>
      </c>
      <c r="AM2" s="70">
        <v>4400</v>
      </c>
      <c r="AN2" s="71">
        <f t="shared" ref="AN2:AN7" si="3">IF(ISERROR(AM2/AL2),"",AM2/AL2)</f>
        <v>2.0699999999999998</v>
      </c>
      <c r="AO2" s="54" t="s">
        <v>85</v>
      </c>
      <c r="AP2" s="72">
        <f>6.7%+7.5%+10%</f>
        <v>0.24199999999999999</v>
      </c>
      <c r="AQ2" s="71">
        <f t="shared" ref="AQ2" si="4">IF(ISERROR(X2*AP2),"",X2*AP2)</f>
        <v>5.54</v>
      </c>
      <c r="AR2" s="71">
        <f t="shared" ref="AR2:AR7" si="5">IF(ISERROR(X2+AN2+AQ2),"",X2+AN2+AQ2)</f>
        <v>30.51</v>
      </c>
      <c r="AS2" s="61">
        <f t="shared" ref="AS2:AS7" si="6">IF(ISERROR(Z2*AA2*AB2/AD2),"",Z2*AA2*AB2/AD2)</f>
        <v>30600</v>
      </c>
      <c r="AT2" s="61">
        <f t="shared" ref="AT2:AT7" si="7">IF(ISERROR(AS2/28316.847),"",AS2/28316.847)</f>
        <v>1.08</v>
      </c>
      <c r="AU2" s="68">
        <v>4</v>
      </c>
      <c r="AV2" s="71">
        <f t="shared" ref="AV2:AV7" si="8">IF(ISERROR(AT2*AU2),"",AT2*AU2)</f>
        <v>4.32</v>
      </c>
      <c r="AW2" s="73">
        <v>0.1</v>
      </c>
      <c r="AX2" s="71">
        <f t="shared" ref="AX2" si="9">IF(ISERROR(BH2*AW2),"",BH2*AW2)</f>
        <v>9</v>
      </c>
      <c r="AY2" s="51">
        <f>IF(AE2="","",((IF(AE2&lt;0.6,'[7]E&amp;E Pricing Structure'!$D$11,IF(AE2&lt;1.2,'[7]E&amp;E Pricing Structure'!$D$12,IF(AE2&lt;1.8,'[7]E&amp;E Pricing Structure'!$D$13,IF(AE2&lt;2.7,'[7]E&amp;E Pricing Structure'!$D$14,IF(AE2&lt;4.8,'[7]E&amp;E Pricing Structure'!$D$15,IF(AE2&lt;12.5,'[7]E&amp;E Pricing Structure'!$D$16,IF(AE2&lt;50,'[7]E&amp;E Pricing Structure'!$D$17,'[7]E&amp;E Pricing Structure'!$D$18))))))))+(IF(AE2&lt;0.6,'[7]E&amp;E Pricing Structure'!$D$30,IF(AE2&lt;1.2,'[7]E&amp;E Pricing Structure'!$D$31,IF(AE2&lt;1.8,'[7]E&amp;E Pricing Structure'!$D$32,IF(AE2&lt;2.7,'[7]E&amp;E Pricing Structure'!$D$33,IF(AE2&lt;4.8,'[7]E&amp;E Pricing Structure'!$D$34,IF(AE2&lt;12.5,'[7]E&amp;E Pricing Structure'!$D$35,IF(AE2&lt;50,'[7]E&amp;E Pricing Structure'!$D$36,'[7]E&amp;E Pricing Structure'!$D$37)))))))))/AD2)</f>
        <v>1.7</v>
      </c>
      <c r="AZ2" s="73">
        <v>0</v>
      </c>
      <c r="BA2" s="71">
        <f t="shared" ref="BA2:BA7" si="10">IF(ISERROR(BH2*AZ2),"",BH2*AZ2)</f>
        <v>0</v>
      </c>
      <c r="BB2" s="74" t="s">
        <v>73</v>
      </c>
      <c r="BC2" s="75">
        <v>0.15</v>
      </c>
      <c r="BD2" s="71">
        <f t="shared" ref="BD2:BD7" si="11">IF(ISERROR(BH2*BC2),"",BH2*BC2)</f>
        <v>13.5</v>
      </c>
      <c r="BE2" s="71">
        <f t="shared" ref="BE2:BE7" si="12">IF(ISERROR(AV2+AX2+AY2+BA2+BD2),"",AV2+AX2+AY2+BA2+BD2)</f>
        <v>28.52</v>
      </c>
      <c r="BF2" s="71">
        <f t="shared" ref="BF2:BF7" si="13">IF(ISERROR(AR2+BE2),"",AR2+BE2)</f>
        <v>59.03</v>
      </c>
      <c r="BG2" s="76">
        <f t="shared" ref="BG2" si="14">IF(ISERROR((BH2-BF2)/BH2),"",(BH2-BF2)/BH2)</f>
        <v>0.34410000000000002</v>
      </c>
      <c r="BH2" s="71">
        <f t="shared" ref="BH2:BH7" si="15">IF(BN2="","",BN2*(1-BO2))</f>
        <v>90</v>
      </c>
      <c r="BI2" s="77">
        <v>0.3</v>
      </c>
      <c r="BJ2" s="71">
        <f t="shared" ref="BJ2:BJ7" si="16">IF(BI2="","",BN2*BI2)</f>
        <v>54</v>
      </c>
      <c r="BK2" s="78">
        <v>15</v>
      </c>
      <c r="BL2" s="71">
        <f t="shared" ref="BL2:BL7" si="17">IF(ISERROR(BF2+BJ2+BK2),"",BF2+BJ2+BK2)</f>
        <v>128.03</v>
      </c>
      <c r="BM2" s="79">
        <f t="shared" ref="BM2:BM7" si="18">IF(BN2="","",(BN2-BL2)/BN2)</f>
        <v>0.28870000000000001</v>
      </c>
      <c r="BN2" s="78">
        <v>179.99</v>
      </c>
      <c r="BO2" s="80">
        <v>0.5</v>
      </c>
      <c r="BP2" s="81"/>
      <c r="BQ2" s="83">
        <f>BH2</f>
        <v>90</v>
      </c>
      <c r="BR2" s="39">
        <f>IF(BS2="","",CEILING(BS2/0.9 - 0.01, 10) - 0.01)</f>
        <v>199.99</v>
      </c>
      <c r="BS2" s="83">
        <f>IF(BN2="","",BN2)</f>
        <v>179.99</v>
      </c>
      <c r="BT2" s="84">
        <f t="shared" ref="BT2:BT7" si="19">IF(BQ2="","",(BQ2-AR2)/BQ2)</f>
        <v>0.66100000000000003</v>
      </c>
      <c r="BU2" s="84">
        <f>IF(BR2="","",(BR2-BQ2)/BR2)</f>
        <v>0.55000000000000004</v>
      </c>
    </row>
    <row r="3" spans="1:73" s="22" customFormat="1" ht="90.95" customHeight="1">
      <c r="A3" s="20">
        <v>2</v>
      </c>
      <c r="B3" s="21"/>
      <c r="C3" s="21"/>
      <c r="D3" s="54" t="s">
        <v>5</v>
      </c>
      <c r="E3" s="54"/>
      <c r="F3" s="54" t="s">
        <v>38</v>
      </c>
      <c r="G3" s="55" t="s">
        <v>80</v>
      </c>
      <c r="H3" s="54" t="s">
        <v>100</v>
      </c>
      <c r="I3" s="54" t="s">
        <v>81</v>
      </c>
      <c r="J3" s="56" t="s">
        <v>82</v>
      </c>
      <c r="K3" s="57" t="s">
        <v>78</v>
      </c>
      <c r="L3" s="52" t="s">
        <v>87</v>
      </c>
      <c r="M3" s="54" t="s">
        <v>84</v>
      </c>
      <c r="N3" s="57"/>
      <c r="O3" s="54" t="s">
        <v>93</v>
      </c>
      <c r="P3" s="58"/>
      <c r="Q3" s="54"/>
      <c r="R3" s="57"/>
      <c r="S3" s="54" t="s">
        <v>6</v>
      </c>
      <c r="T3" s="59">
        <v>152</v>
      </c>
      <c r="U3" s="60">
        <f>X3*0.95</f>
        <v>25.08</v>
      </c>
      <c r="V3" s="61">
        <f t="shared" si="0"/>
        <v>203.28</v>
      </c>
      <c r="W3" s="62">
        <v>7.7</v>
      </c>
      <c r="X3" s="63">
        <v>26.4</v>
      </c>
      <c r="Y3" s="54" t="s">
        <v>4</v>
      </c>
      <c r="Z3" s="64">
        <v>40</v>
      </c>
      <c r="AA3" s="64">
        <v>45</v>
      </c>
      <c r="AB3" s="64">
        <v>68</v>
      </c>
      <c r="AC3" s="65"/>
      <c r="AD3" s="59">
        <v>4</v>
      </c>
      <c r="AE3" s="66">
        <f t="shared" si="1"/>
        <v>4.3209999999999997</v>
      </c>
      <c r="AF3" s="67" t="s">
        <v>0</v>
      </c>
      <c r="AG3" s="64">
        <v>13</v>
      </c>
      <c r="AH3" s="64">
        <v>17</v>
      </c>
      <c r="AI3" s="64">
        <v>5.5</v>
      </c>
      <c r="AJ3" s="68">
        <v>5.8</v>
      </c>
      <c r="AK3" s="68">
        <v>65</v>
      </c>
      <c r="AL3" s="69">
        <f t="shared" si="2"/>
        <v>2124</v>
      </c>
      <c r="AM3" s="70">
        <v>4400</v>
      </c>
      <c r="AN3" s="71">
        <f t="shared" si="3"/>
        <v>2.0699999999999998</v>
      </c>
      <c r="AO3" s="54" t="s">
        <v>85</v>
      </c>
      <c r="AP3" s="72">
        <f>6.7%+7.5%+10%</f>
        <v>0.24199999999999999</v>
      </c>
      <c r="AQ3" s="71">
        <f t="shared" ref="AQ3:AQ4" si="20">IF(ISERROR(X3*AP3),"",X3*AP3)</f>
        <v>6.39</v>
      </c>
      <c r="AR3" s="71">
        <f t="shared" si="5"/>
        <v>34.86</v>
      </c>
      <c r="AS3" s="61">
        <f t="shared" si="6"/>
        <v>30600</v>
      </c>
      <c r="AT3" s="61">
        <f t="shared" si="7"/>
        <v>1.08</v>
      </c>
      <c r="AU3" s="68">
        <v>4</v>
      </c>
      <c r="AV3" s="71">
        <f t="shared" si="8"/>
        <v>4.32</v>
      </c>
      <c r="AW3" s="73">
        <v>0.1</v>
      </c>
      <c r="AX3" s="71">
        <f t="shared" ref="AX3:AX4" si="21">IF(ISERROR(BH3*AW3),"",BH3*AW3)</f>
        <v>10</v>
      </c>
      <c r="AY3" s="51">
        <f>IF(AE3="","",((IF(AE3&lt;0.6,'[7]E&amp;E Pricing Structure'!$D$11,IF(AE3&lt;1.2,'[7]E&amp;E Pricing Structure'!$D$12,IF(AE3&lt;1.8,'[7]E&amp;E Pricing Structure'!$D$13,IF(AE3&lt;2.7,'[7]E&amp;E Pricing Structure'!$D$14,IF(AE3&lt;4.8,'[7]E&amp;E Pricing Structure'!$D$15,IF(AE3&lt;12.5,'[7]E&amp;E Pricing Structure'!$D$16,IF(AE3&lt;50,'[7]E&amp;E Pricing Structure'!$D$17,'[7]E&amp;E Pricing Structure'!$D$18))))))))+(IF(AE3&lt;0.6,'[7]E&amp;E Pricing Structure'!$D$30,IF(AE3&lt;1.2,'[7]E&amp;E Pricing Structure'!$D$31,IF(AE3&lt;1.8,'[7]E&amp;E Pricing Structure'!$D$32,IF(AE3&lt;2.7,'[7]E&amp;E Pricing Structure'!$D$33,IF(AE3&lt;4.8,'[7]E&amp;E Pricing Structure'!$D$34,IF(AE3&lt;12.5,'[7]E&amp;E Pricing Structure'!$D$35,IF(AE3&lt;50,'[7]E&amp;E Pricing Structure'!$D$36,'[7]E&amp;E Pricing Structure'!$D$37)))))))))/AD3)</f>
        <v>1.7</v>
      </c>
      <c r="AZ3" s="73">
        <v>0</v>
      </c>
      <c r="BA3" s="71">
        <f t="shared" si="10"/>
        <v>0</v>
      </c>
      <c r="BB3" s="74" t="s">
        <v>73</v>
      </c>
      <c r="BC3" s="75">
        <v>0.15</v>
      </c>
      <c r="BD3" s="71">
        <f t="shared" si="11"/>
        <v>15</v>
      </c>
      <c r="BE3" s="71">
        <f t="shared" si="12"/>
        <v>31.02</v>
      </c>
      <c r="BF3" s="71">
        <f t="shared" si="13"/>
        <v>65.88</v>
      </c>
      <c r="BG3" s="76">
        <f t="shared" ref="BG3:BG4" si="22">IF(ISERROR((BH3-BF3)/BH3),"",(BH3-BF3)/BH3)</f>
        <v>0.3412</v>
      </c>
      <c r="BH3" s="71">
        <f t="shared" si="15"/>
        <v>100</v>
      </c>
      <c r="BI3" s="77">
        <v>0.3</v>
      </c>
      <c r="BJ3" s="71">
        <f t="shared" si="16"/>
        <v>60</v>
      </c>
      <c r="BK3" s="78">
        <v>15</v>
      </c>
      <c r="BL3" s="71">
        <f t="shared" si="17"/>
        <v>140.88</v>
      </c>
      <c r="BM3" s="79">
        <f t="shared" si="18"/>
        <v>0.29559999999999997</v>
      </c>
      <c r="BN3" s="78">
        <v>199.99</v>
      </c>
      <c r="BO3" s="80">
        <v>0.5</v>
      </c>
      <c r="BP3" s="3"/>
      <c r="BQ3" s="83">
        <f t="shared" ref="BQ3:BQ7" si="23">BH3</f>
        <v>100</v>
      </c>
      <c r="BR3" s="39">
        <f t="shared" ref="BR3:BR7" si="24">IF(BS3="","",CEILING(BS3/0.9 - 0.01, 10) - 0.01)</f>
        <v>229.99</v>
      </c>
      <c r="BS3" s="83">
        <f t="shared" ref="BS3:BS7" si="25">IF(BN3="","",BN3)</f>
        <v>199.99</v>
      </c>
      <c r="BT3" s="84">
        <f t="shared" si="19"/>
        <v>0.65139999999999998</v>
      </c>
      <c r="BU3" s="84">
        <f t="shared" ref="BU3:BU7" si="26">IF(BR3="","",(BR3-BQ3)/BR3)</f>
        <v>0.56520000000000004</v>
      </c>
    </row>
    <row r="4" spans="1:73" s="22" customFormat="1" ht="90.95" customHeight="1">
      <c r="A4" s="20">
        <v>3</v>
      </c>
      <c r="B4" s="21"/>
      <c r="C4" s="21"/>
      <c r="D4" s="54" t="s">
        <v>5</v>
      </c>
      <c r="E4" s="54"/>
      <c r="F4" s="54" t="s">
        <v>38</v>
      </c>
      <c r="G4" s="55" t="s">
        <v>80</v>
      </c>
      <c r="H4" s="54" t="s">
        <v>100</v>
      </c>
      <c r="I4" s="54" t="s">
        <v>81</v>
      </c>
      <c r="J4" s="56" t="s">
        <v>82</v>
      </c>
      <c r="K4" s="57" t="s">
        <v>78</v>
      </c>
      <c r="L4" s="52" t="s">
        <v>83</v>
      </c>
      <c r="M4" s="54" t="s">
        <v>86</v>
      </c>
      <c r="N4" s="57"/>
      <c r="O4" s="54" t="s">
        <v>94</v>
      </c>
      <c r="P4" s="58"/>
      <c r="Q4" s="54"/>
      <c r="R4" s="57"/>
      <c r="S4" s="54" t="s">
        <v>6</v>
      </c>
      <c r="T4" s="59">
        <v>152</v>
      </c>
      <c r="U4" s="60">
        <v>21.76</v>
      </c>
      <c r="V4" s="61">
        <f t="shared" si="0"/>
        <v>176.33</v>
      </c>
      <c r="W4" s="62">
        <v>7.7</v>
      </c>
      <c r="X4" s="63">
        <v>22.9</v>
      </c>
      <c r="Y4" s="54" t="s">
        <v>4</v>
      </c>
      <c r="Z4" s="64">
        <v>40</v>
      </c>
      <c r="AA4" s="64">
        <v>45</v>
      </c>
      <c r="AB4" s="64">
        <v>68</v>
      </c>
      <c r="AC4" s="65"/>
      <c r="AD4" s="59">
        <v>4</v>
      </c>
      <c r="AE4" s="66">
        <f t="shared" si="1"/>
        <v>4.3209999999999997</v>
      </c>
      <c r="AF4" s="67" t="s">
        <v>0</v>
      </c>
      <c r="AG4" s="64">
        <v>13</v>
      </c>
      <c r="AH4" s="64">
        <v>17</v>
      </c>
      <c r="AI4" s="64">
        <v>5.5</v>
      </c>
      <c r="AJ4" s="68">
        <v>4.9000000000000004</v>
      </c>
      <c r="AK4" s="68">
        <v>65</v>
      </c>
      <c r="AL4" s="69">
        <f t="shared" si="2"/>
        <v>2124</v>
      </c>
      <c r="AM4" s="70">
        <v>4400</v>
      </c>
      <c r="AN4" s="71">
        <f t="shared" si="3"/>
        <v>2.0699999999999998</v>
      </c>
      <c r="AO4" s="54" t="s">
        <v>85</v>
      </c>
      <c r="AP4" s="72">
        <f>6.7%+7.5%+10%</f>
        <v>0.24199999999999999</v>
      </c>
      <c r="AQ4" s="71">
        <f t="shared" si="20"/>
        <v>5.54</v>
      </c>
      <c r="AR4" s="71">
        <f t="shared" si="5"/>
        <v>30.51</v>
      </c>
      <c r="AS4" s="61">
        <f t="shared" si="6"/>
        <v>30600</v>
      </c>
      <c r="AT4" s="61">
        <f t="shared" si="7"/>
        <v>1.08</v>
      </c>
      <c r="AU4" s="68">
        <v>4</v>
      </c>
      <c r="AV4" s="71">
        <f t="shared" si="8"/>
        <v>4.32</v>
      </c>
      <c r="AW4" s="73">
        <v>0.1</v>
      </c>
      <c r="AX4" s="71">
        <f t="shared" si="21"/>
        <v>9</v>
      </c>
      <c r="AY4" s="51">
        <f>IF(AE4="","",((IF(AE4&lt;0.6,'[7]E&amp;E Pricing Structure'!$D$11,IF(AE4&lt;1.2,'[7]E&amp;E Pricing Structure'!$D$12,IF(AE4&lt;1.8,'[7]E&amp;E Pricing Structure'!$D$13,IF(AE4&lt;2.7,'[7]E&amp;E Pricing Structure'!$D$14,IF(AE4&lt;4.8,'[7]E&amp;E Pricing Structure'!$D$15,IF(AE4&lt;12.5,'[7]E&amp;E Pricing Structure'!$D$16,IF(AE4&lt;50,'[7]E&amp;E Pricing Structure'!$D$17,'[7]E&amp;E Pricing Structure'!$D$18))))))))+(IF(AE4&lt;0.6,'[7]E&amp;E Pricing Structure'!$D$30,IF(AE4&lt;1.2,'[7]E&amp;E Pricing Structure'!$D$31,IF(AE4&lt;1.8,'[7]E&amp;E Pricing Structure'!$D$32,IF(AE4&lt;2.7,'[7]E&amp;E Pricing Structure'!$D$33,IF(AE4&lt;4.8,'[7]E&amp;E Pricing Structure'!$D$34,IF(AE4&lt;12.5,'[7]E&amp;E Pricing Structure'!$D$35,IF(AE4&lt;50,'[7]E&amp;E Pricing Structure'!$D$36,'[7]E&amp;E Pricing Structure'!$D$37)))))))))/AD4)</f>
        <v>1.7</v>
      </c>
      <c r="AZ4" s="73">
        <v>0</v>
      </c>
      <c r="BA4" s="71">
        <f t="shared" si="10"/>
        <v>0</v>
      </c>
      <c r="BB4" s="74" t="s">
        <v>73</v>
      </c>
      <c r="BC4" s="75">
        <v>0.15</v>
      </c>
      <c r="BD4" s="71">
        <f t="shared" si="11"/>
        <v>13.5</v>
      </c>
      <c r="BE4" s="71">
        <f t="shared" si="12"/>
        <v>28.52</v>
      </c>
      <c r="BF4" s="71">
        <f t="shared" si="13"/>
        <v>59.03</v>
      </c>
      <c r="BG4" s="76">
        <f t="shared" si="22"/>
        <v>0.34410000000000002</v>
      </c>
      <c r="BH4" s="71">
        <f t="shared" si="15"/>
        <v>90</v>
      </c>
      <c r="BI4" s="77">
        <v>0.3</v>
      </c>
      <c r="BJ4" s="71">
        <f t="shared" si="16"/>
        <v>54</v>
      </c>
      <c r="BK4" s="78">
        <v>15</v>
      </c>
      <c r="BL4" s="71">
        <f t="shared" si="17"/>
        <v>128.03</v>
      </c>
      <c r="BM4" s="79">
        <f t="shared" si="18"/>
        <v>0.28870000000000001</v>
      </c>
      <c r="BN4" s="78">
        <v>179.99</v>
      </c>
      <c r="BO4" s="80">
        <v>0.5</v>
      </c>
      <c r="BP4" s="3"/>
      <c r="BQ4" s="83">
        <f t="shared" si="23"/>
        <v>90</v>
      </c>
      <c r="BR4" s="39">
        <f t="shared" si="24"/>
        <v>199.99</v>
      </c>
      <c r="BS4" s="83">
        <f t="shared" si="25"/>
        <v>179.99</v>
      </c>
      <c r="BT4" s="84">
        <f t="shared" si="19"/>
        <v>0.66100000000000003</v>
      </c>
      <c r="BU4" s="84">
        <f t="shared" si="26"/>
        <v>0.55000000000000004</v>
      </c>
    </row>
    <row r="5" spans="1:73" s="22" customFormat="1" ht="92.1" customHeight="1">
      <c r="A5" s="20">
        <v>4</v>
      </c>
      <c r="B5" s="21"/>
      <c r="C5" s="21"/>
      <c r="D5" s="54" t="s">
        <v>5</v>
      </c>
      <c r="E5" s="54"/>
      <c r="F5" s="54" t="s">
        <v>38</v>
      </c>
      <c r="G5" s="55" t="s">
        <v>80</v>
      </c>
      <c r="H5" s="54" t="s">
        <v>100</v>
      </c>
      <c r="I5" s="54" t="s">
        <v>81</v>
      </c>
      <c r="J5" s="56" t="s">
        <v>82</v>
      </c>
      <c r="K5" s="57" t="s">
        <v>78</v>
      </c>
      <c r="L5" s="52" t="s">
        <v>87</v>
      </c>
      <c r="M5" s="54" t="s">
        <v>86</v>
      </c>
      <c r="N5" s="57"/>
      <c r="O5" s="54" t="s">
        <v>95</v>
      </c>
      <c r="P5" s="58"/>
      <c r="Q5" s="54"/>
      <c r="R5" s="57"/>
      <c r="S5" s="54" t="s">
        <v>6</v>
      </c>
      <c r="T5" s="59">
        <v>152</v>
      </c>
      <c r="U5" s="60">
        <f>X5*0.95</f>
        <v>25.08</v>
      </c>
      <c r="V5" s="61">
        <f t="shared" si="0"/>
        <v>203.28</v>
      </c>
      <c r="W5" s="62">
        <v>7.7</v>
      </c>
      <c r="X5" s="63">
        <v>26.4</v>
      </c>
      <c r="Y5" s="54" t="s">
        <v>4</v>
      </c>
      <c r="Z5" s="64">
        <v>40</v>
      </c>
      <c r="AA5" s="64">
        <v>45</v>
      </c>
      <c r="AB5" s="64">
        <v>68</v>
      </c>
      <c r="AC5" s="65"/>
      <c r="AD5" s="59">
        <v>4</v>
      </c>
      <c r="AE5" s="66">
        <f t="shared" si="1"/>
        <v>4.3209999999999997</v>
      </c>
      <c r="AF5" s="67" t="s">
        <v>0</v>
      </c>
      <c r="AG5" s="64">
        <v>13</v>
      </c>
      <c r="AH5" s="64">
        <v>17</v>
      </c>
      <c r="AI5" s="64">
        <v>5.5</v>
      </c>
      <c r="AJ5" s="68">
        <v>5.8</v>
      </c>
      <c r="AK5" s="68">
        <v>65</v>
      </c>
      <c r="AL5" s="69">
        <f t="shared" si="2"/>
        <v>2124</v>
      </c>
      <c r="AM5" s="70">
        <v>4400</v>
      </c>
      <c r="AN5" s="71">
        <f t="shared" si="3"/>
        <v>2.0699999999999998</v>
      </c>
      <c r="AO5" s="54" t="s">
        <v>85</v>
      </c>
      <c r="AP5" s="72">
        <f>6.7%+7.5%+10%</f>
        <v>0.24199999999999999</v>
      </c>
      <c r="AQ5" s="71">
        <f t="shared" ref="AQ5" si="27">IF(ISERROR(X5*AP5),"",X5*AP5)</f>
        <v>6.39</v>
      </c>
      <c r="AR5" s="71">
        <f t="shared" si="5"/>
        <v>34.86</v>
      </c>
      <c r="AS5" s="61">
        <f t="shared" si="6"/>
        <v>30600</v>
      </c>
      <c r="AT5" s="61">
        <f t="shared" si="7"/>
        <v>1.08</v>
      </c>
      <c r="AU5" s="68">
        <v>4</v>
      </c>
      <c r="AV5" s="71">
        <f t="shared" si="8"/>
        <v>4.32</v>
      </c>
      <c r="AW5" s="73">
        <v>0.1</v>
      </c>
      <c r="AX5" s="71">
        <f t="shared" ref="AX5" si="28">IF(ISERROR(BH5*AW5),"",BH5*AW5)</f>
        <v>10</v>
      </c>
      <c r="AY5" s="51">
        <f>IF(AE5="","",((IF(AE5&lt;0.6,'[7]E&amp;E Pricing Structure'!$D$11,IF(AE5&lt;1.2,'[7]E&amp;E Pricing Structure'!$D$12,IF(AE5&lt;1.8,'[7]E&amp;E Pricing Structure'!$D$13,IF(AE5&lt;2.7,'[7]E&amp;E Pricing Structure'!$D$14,IF(AE5&lt;4.8,'[7]E&amp;E Pricing Structure'!$D$15,IF(AE5&lt;12.5,'[7]E&amp;E Pricing Structure'!$D$16,IF(AE5&lt;50,'[7]E&amp;E Pricing Structure'!$D$17,'[7]E&amp;E Pricing Structure'!$D$18))))))))+(IF(AE5&lt;0.6,'[7]E&amp;E Pricing Structure'!$D$30,IF(AE5&lt;1.2,'[7]E&amp;E Pricing Structure'!$D$31,IF(AE5&lt;1.8,'[7]E&amp;E Pricing Structure'!$D$32,IF(AE5&lt;2.7,'[7]E&amp;E Pricing Structure'!$D$33,IF(AE5&lt;4.8,'[7]E&amp;E Pricing Structure'!$D$34,IF(AE5&lt;12.5,'[7]E&amp;E Pricing Structure'!$D$35,IF(AE5&lt;50,'[7]E&amp;E Pricing Structure'!$D$36,'[7]E&amp;E Pricing Structure'!$D$37)))))))))/AD5)</f>
        <v>1.7</v>
      </c>
      <c r="AZ5" s="73">
        <v>0</v>
      </c>
      <c r="BA5" s="71">
        <f t="shared" si="10"/>
        <v>0</v>
      </c>
      <c r="BB5" s="74" t="s">
        <v>73</v>
      </c>
      <c r="BC5" s="75">
        <v>0.15</v>
      </c>
      <c r="BD5" s="71">
        <f t="shared" si="11"/>
        <v>15</v>
      </c>
      <c r="BE5" s="71">
        <f t="shared" si="12"/>
        <v>31.02</v>
      </c>
      <c r="BF5" s="71">
        <f t="shared" si="13"/>
        <v>65.88</v>
      </c>
      <c r="BG5" s="76">
        <f t="shared" ref="BG5" si="29">IF(ISERROR((BH5-BF5)/BH5),"",(BH5-BF5)/BH5)</f>
        <v>0.3412</v>
      </c>
      <c r="BH5" s="71">
        <f t="shared" si="15"/>
        <v>100</v>
      </c>
      <c r="BI5" s="77">
        <v>0.3</v>
      </c>
      <c r="BJ5" s="71">
        <f t="shared" si="16"/>
        <v>60</v>
      </c>
      <c r="BK5" s="78">
        <v>15</v>
      </c>
      <c r="BL5" s="71">
        <f t="shared" si="17"/>
        <v>140.88</v>
      </c>
      <c r="BM5" s="79">
        <f t="shared" si="18"/>
        <v>0.29559999999999997</v>
      </c>
      <c r="BN5" s="78">
        <v>199.99</v>
      </c>
      <c r="BO5" s="80">
        <v>0.5</v>
      </c>
      <c r="BP5" s="3"/>
      <c r="BQ5" s="83">
        <f t="shared" si="23"/>
        <v>100</v>
      </c>
      <c r="BR5" s="39">
        <f t="shared" si="24"/>
        <v>229.99</v>
      </c>
      <c r="BS5" s="83">
        <f t="shared" si="25"/>
        <v>199.99</v>
      </c>
      <c r="BT5" s="84">
        <f t="shared" si="19"/>
        <v>0.65139999999999998</v>
      </c>
      <c r="BU5" s="84">
        <f t="shared" si="26"/>
        <v>0.56520000000000004</v>
      </c>
    </row>
    <row r="6" spans="1:73" s="22" customFormat="1" ht="92.1" customHeight="1">
      <c r="A6" s="20">
        <v>5</v>
      </c>
      <c r="B6" s="21"/>
      <c r="C6" s="21"/>
      <c r="D6" s="54" t="s">
        <v>5</v>
      </c>
      <c r="E6" s="54"/>
      <c r="F6" s="54" t="s">
        <v>44</v>
      </c>
      <c r="G6" s="55" t="s">
        <v>80</v>
      </c>
      <c r="H6" s="54" t="s">
        <v>102</v>
      </c>
      <c r="I6" s="85" t="s">
        <v>101</v>
      </c>
      <c r="J6" s="56" t="s">
        <v>89</v>
      </c>
      <c r="K6" s="57" t="s">
        <v>78</v>
      </c>
      <c r="L6" s="52" t="s">
        <v>90</v>
      </c>
      <c r="M6" s="54" t="s">
        <v>84</v>
      </c>
      <c r="N6" s="57"/>
      <c r="O6" s="54" t="s">
        <v>96</v>
      </c>
      <c r="P6" s="58"/>
      <c r="Q6" s="54"/>
      <c r="R6" s="57"/>
      <c r="S6" s="54" t="s">
        <v>6</v>
      </c>
      <c r="T6" s="59">
        <v>120</v>
      </c>
      <c r="U6" s="60">
        <f>X6*0.95</f>
        <v>8.17</v>
      </c>
      <c r="V6" s="61">
        <f t="shared" si="0"/>
        <v>66.22</v>
      </c>
      <c r="W6" s="62">
        <v>7.7</v>
      </c>
      <c r="X6" s="63">
        <v>8.6</v>
      </c>
      <c r="Y6" s="54" t="s">
        <v>4</v>
      </c>
      <c r="Z6" s="64">
        <v>51</v>
      </c>
      <c r="AA6" s="64">
        <v>31</v>
      </c>
      <c r="AB6" s="64">
        <v>40</v>
      </c>
      <c r="AC6" s="65"/>
      <c r="AD6" s="59">
        <v>12</v>
      </c>
      <c r="AE6" s="66">
        <f t="shared" si="1"/>
        <v>2.2320000000000002</v>
      </c>
      <c r="AF6" s="67" t="s">
        <v>0</v>
      </c>
      <c r="AG6" s="64">
        <v>11</v>
      </c>
      <c r="AH6" s="64">
        <v>9</v>
      </c>
      <c r="AI6" s="64">
        <v>3</v>
      </c>
      <c r="AJ6" s="68">
        <v>3</v>
      </c>
      <c r="AK6" s="68">
        <v>65</v>
      </c>
      <c r="AL6" s="69">
        <f t="shared" si="2"/>
        <v>12336</v>
      </c>
      <c r="AM6" s="70">
        <v>4400</v>
      </c>
      <c r="AN6" s="71">
        <f t="shared" si="3"/>
        <v>0.36</v>
      </c>
      <c r="AO6" s="54" t="s">
        <v>91</v>
      </c>
      <c r="AP6" s="72">
        <f>10.3%+7.5%+10%</f>
        <v>0.27800000000000002</v>
      </c>
      <c r="AQ6" s="71">
        <f t="shared" ref="AQ6:AQ7" si="30">IF(ISERROR(X6*AP6),"",X6*AP6)</f>
        <v>2.39</v>
      </c>
      <c r="AR6" s="71">
        <f t="shared" si="5"/>
        <v>11.35</v>
      </c>
      <c r="AS6" s="61">
        <f t="shared" si="6"/>
        <v>5270</v>
      </c>
      <c r="AT6" s="61">
        <f t="shared" si="7"/>
        <v>0.19</v>
      </c>
      <c r="AU6" s="68">
        <v>4</v>
      </c>
      <c r="AV6" s="71">
        <f t="shared" si="8"/>
        <v>0.76</v>
      </c>
      <c r="AW6" s="73">
        <v>0.1</v>
      </c>
      <c r="AX6" s="71">
        <f t="shared" ref="AX6:AX7" si="31">IF(ISERROR(BH6*AW6),"",BH6*AW6)</f>
        <v>2.15</v>
      </c>
      <c r="AY6" s="51">
        <f>IF(AE6="","",((IF(AE6&lt;0.6,'[7]E&amp;E Pricing Structure'!$D$11,IF(AE6&lt;1.2,'[7]E&amp;E Pricing Structure'!$D$12,IF(AE6&lt;1.8,'[7]E&amp;E Pricing Structure'!$D$13,IF(AE6&lt;2.7,'[7]E&amp;E Pricing Structure'!$D$14,IF(AE6&lt;4.8,'[7]E&amp;E Pricing Structure'!$D$15,IF(AE6&lt;12.5,'[7]E&amp;E Pricing Structure'!$D$16,IF(AE6&lt;50,'[7]E&amp;E Pricing Structure'!$D$17,'[7]E&amp;E Pricing Structure'!$D$18))))))))+(IF(AE6&lt;0.6,'[7]E&amp;E Pricing Structure'!$D$30,IF(AE6&lt;1.2,'[7]E&amp;E Pricing Structure'!$D$31,IF(AE6&lt;1.8,'[7]E&amp;E Pricing Structure'!$D$32,IF(AE6&lt;2.7,'[7]E&amp;E Pricing Structure'!$D$33,IF(AE6&lt;4.8,'[7]E&amp;E Pricing Structure'!$D$34,IF(AE6&lt;12.5,'[7]E&amp;E Pricing Structure'!$D$35,IF(AE6&lt;50,'[7]E&amp;E Pricing Structure'!$D$36,'[7]E&amp;E Pricing Structure'!$D$37)))))))))/AD6)</f>
        <v>0.43</v>
      </c>
      <c r="AZ6" s="73">
        <v>0</v>
      </c>
      <c r="BA6" s="71">
        <f t="shared" si="10"/>
        <v>0</v>
      </c>
      <c r="BB6" s="74" t="s">
        <v>73</v>
      </c>
      <c r="BC6" s="75">
        <v>0.15</v>
      </c>
      <c r="BD6" s="71">
        <f t="shared" si="11"/>
        <v>3.23</v>
      </c>
      <c r="BE6" s="71">
        <f t="shared" si="12"/>
        <v>6.57</v>
      </c>
      <c r="BF6" s="71">
        <f t="shared" si="13"/>
        <v>17.920000000000002</v>
      </c>
      <c r="BG6" s="76">
        <f t="shared" ref="BG6:BG7" si="32">IF(ISERROR((BH6-BF6)/BH6),"",(BH6-BF6)/BH6)</f>
        <v>0.16650000000000001</v>
      </c>
      <c r="BH6" s="71">
        <f t="shared" si="15"/>
        <v>21.5</v>
      </c>
      <c r="BI6" s="77">
        <v>0.3</v>
      </c>
      <c r="BJ6" s="71">
        <f t="shared" si="16"/>
        <v>15</v>
      </c>
      <c r="BK6" s="78">
        <v>8</v>
      </c>
      <c r="BL6" s="71">
        <f t="shared" si="17"/>
        <v>40.92</v>
      </c>
      <c r="BM6" s="79">
        <f t="shared" si="18"/>
        <v>0.18140000000000001</v>
      </c>
      <c r="BN6" s="78">
        <v>49.99</v>
      </c>
      <c r="BO6" s="80">
        <v>0.56999999999999995</v>
      </c>
      <c r="BP6" s="3"/>
      <c r="BQ6" s="83">
        <f t="shared" si="23"/>
        <v>21.5</v>
      </c>
      <c r="BR6" s="39">
        <f t="shared" si="24"/>
        <v>59.99</v>
      </c>
      <c r="BS6" s="83">
        <f t="shared" si="25"/>
        <v>49.99</v>
      </c>
      <c r="BT6" s="84">
        <f t="shared" si="19"/>
        <v>0.47210000000000002</v>
      </c>
      <c r="BU6" s="84">
        <f t="shared" si="26"/>
        <v>0.64159999999999995</v>
      </c>
    </row>
    <row r="7" spans="1:73" s="22" customFormat="1" ht="92.1" customHeight="1">
      <c r="A7" s="20">
        <v>6</v>
      </c>
      <c r="B7" s="21"/>
      <c r="C7" s="21"/>
      <c r="D7" s="54" t="s">
        <v>5</v>
      </c>
      <c r="E7" s="54"/>
      <c r="F7" s="54" t="s">
        <v>44</v>
      </c>
      <c r="G7" s="55" t="s">
        <v>80</v>
      </c>
      <c r="H7" s="54" t="s">
        <v>102</v>
      </c>
      <c r="I7" s="85" t="s">
        <v>88</v>
      </c>
      <c r="J7" s="56" t="s">
        <v>89</v>
      </c>
      <c r="K7" s="57" t="s">
        <v>78</v>
      </c>
      <c r="L7" s="52" t="s">
        <v>90</v>
      </c>
      <c r="M7" s="54" t="s">
        <v>86</v>
      </c>
      <c r="N7" s="57"/>
      <c r="O7" s="54" t="s">
        <v>97</v>
      </c>
      <c r="P7" s="58"/>
      <c r="Q7" s="54"/>
      <c r="R7" s="57"/>
      <c r="S7" s="54" t="s">
        <v>6</v>
      </c>
      <c r="T7" s="59">
        <v>120</v>
      </c>
      <c r="U7" s="60">
        <f>X7*0.95</f>
        <v>8.17</v>
      </c>
      <c r="V7" s="61">
        <f t="shared" si="0"/>
        <v>66.22</v>
      </c>
      <c r="W7" s="62">
        <v>7.7</v>
      </c>
      <c r="X7" s="63">
        <v>8.6</v>
      </c>
      <c r="Y7" s="54" t="s">
        <v>4</v>
      </c>
      <c r="Z7" s="64">
        <v>51</v>
      </c>
      <c r="AA7" s="64">
        <v>31</v>
      </c>
      <c r="AB7" s="64">
        <v>40</v>
      </c>
      <c r="AC7" s="65"/>
      <c r="AD7" s="59">
        <v>12</v>
      </c>
      <c r="AE7" s="66">
        <f t="shared" si="1"/>
        <v>2.2320000000000002</v>
      </c>
      <c r="AF7" s="67" t="s">
        <v>0</v>
      </c>
      <c r="AG7" s="64">
        <v>11</v>
      </c>
      <c r="AH7" s="64">
        <v>9</v>
      </c>
      <c r="AI7" s="64">
        <v>3</v>
      </c>
      <c r="AJ7" s="68">
        <v>3</v>
      </c>
      <c r="AK7" s="68">
        <v>65</v>
      </c>
      <c r="AL7" s="69">
        <f t="shared" si="2"/>
        <v>12336</v>
      </c>
      <c r="AM7" s="70">
        <v>4400</v>
      </c>
      <c r="AN7" s="71">
        <f t="shared" si="3"/>
        <v>0.36</v>
      </c>
      <c r="AO7" s="54" t="s">
        <v>91</v>
      </c>
      <c r="AP7" s="72">
        <f>10.3%+7.5%+10%</f>
        <v>0.27800000000000002</v>
      </c>
      <c r="AQ7" s="71">
        <f t="shared" si="30"/>
        <v>2.39</v>
      </c>
      <c r="AR7" s="71">
        <f t="shared" si="5"/>
        <v>11.35</v>
      </c>
      <c r="AS7" s="61">
        <f t="shared" si="6"/>
        <v>5270</v>
      </c>
      <c r="AT7" s="61">
        <f t="shared" si="7"/>
        <v>0.19</v>
      </c>
      <c r="AU7" s="68">
        <v>4</v>
      </c>
      <c r="AV7" s="71">
        <f t="shared" si="8"/>
        <v>0.76</v>
      </c>
      <c r="AW7" s="73">
        <v>0.1</v>
      </c>
      <c r="AX7" s="71">
        <f t="shared" si="31"/>
        <v>2.15</v>
      </c>
      <c r="AY7" s="51">
        <f>IF(AE7="","",((IF(AE7&lt;0.6,'[7]E&amp;E Pricing Structure'!$D$11,IF(AE7&lt;1.2,'[7]E&amp;E Pricing Structure'!$D$12,IF(AE7&lt;1.8,'[7]E&amp;E Pricing Structure'!$D$13,IF(AE7&lt;2.7,'[7]E&amp;E Pricing Structure'!$D$14,IF(AE7&lt;4.8,'[7]E&amp;E Pricing Structure'!$D$15,IF(AE7&lt;12.5,'[7]E&amp;E Pricing Structure'!$D$16,IF(AE7&lt;50,'[7]E&amp;E Pricing Structure'!$D$17,'[7]E&amp;E Pricing Structure'!$D$18))))))))+(IF(AE7&lt;0.6,'[7]E&amp;E Pricing Structure'!$D$30,IF(AE7&lt;1.2,'[7]E&amp;E Pricing Structure'!$D$31,IF(AE7&lt;1.8,'[7]E&amp;E Pricing Structure'!$D$32,IF(AE7&lt;2.7,'[7]E&amp;E Pricing Structure'!$D$33,IF(AE7&lt;4.8,'[7]E&amp;E Pricing Structure'!$D$34,IF(AE7&lt;12.5,'[7]E&amp;E Pricing Structure'!$D$35,IF(AE7&lt;50,'[7]E&amp;E Pricing Structure'!$D$36,'[7]E&amp;E Pricing Structure'!$D$37)))))))))/AD7)</f>
        <v>0.43</v>
      </c>
      <c r="AZ7" s="73">
        <v>0</v>
      </c>
      <c r="BA7" s="71">
        <f t="shared" si="10"/>
        <v>0</v>
      </c>
      <c r="BB7" s="74" t="s">
        <v>73</v>
      </c>
      <c r="BC7" s="75">
        <v>0.15</v>
      </c>
      <c r="BD7" s="71">
        <f t="shared" si="11"/>
        <v>3.23</v>
      </c>
      <c r="BE7" s="71">
        <f t="shared" si="12"/>
        <v>6.57</v>
      </c>
      <c r="BF7" s="71">
        <f t="shared" si="13"/>
        <v>17.920000000000002</v>
      </c>
      <c r="BG7" s="76">
        <f t="shared" si="32"/>
        <v>0.16650000000000001</v>
      </c>
      <c r="BH7" s="71">
        <f t="shared" si="15"/>
        <v>21.5</v>
      </c>
      <c r="BI7" s="77">
        <v>0.3</v>
      </c>
      <c r="BJ7" s="71">
        <f t="shared" si="16"/>
        <v>15</v>
      </c>
      <c r="BK7" s="78">
        <v>8</v>
      </c>
      <c r="BL7" s="71">
        <f t="shared" si="17"/>
        <v>40.92</v>
      </c>
      <c r="BM7" s="79">
        <f t="shared" si="18"/>
        <v>0.18140000000000001</v>
      </c>
      <c r="BN7" s="78">
        <v>49.99</v>
      </c>
      <c r="BO7" s="80">
        <v>0.56999999999999995</v>
      </c>
      <c r="BP7" s="3"/>
      <c r="BQ7" s="83">
        <f t="shared" si="23"/>
        <v>21.5</v>
      </c>
      <c r="BR7" s="39">
        <f t="shared" si="24"/>
        <v>59.99</v>
      </c>
      <c r="BS7" s="83">
        <f t="shared" si="25"/>
        <v>49.99</v>
      </c>
      <c r="BT7" s="84">
        <f t="shared" si="19"/>
        <v>0.47210000000000002</v>
      </c>
      <c r="BU7" s="84">
        <f t="shared" si="26"/>
        <v>0.64159999999999995</v>
      </c>
    </row>
  </sheetData>
  <sheetProtection insertRows="0" deleteRows="0" sort="0"/>
  <protectedRanges>
    <protectedRange sqref="A9:B91 D9:E91 C8:C90 AK2:AL7 F8:S90 AQ2:BK7 AN2:AN7 AE2:AF7 BM2:BM7 P2:S7 V2:Y7 U8:BE90 M2:N7 A2:J7" name="Range1"/>
    <protectedRange sqref="Z2:AC7 AG2:AJ7" name="Range1_2"/>
    <protectedRange sqref="AM2:AM7" name="Range1_3"/>
    <protectedRange sqref="AO2:AP7" name="Range1_4"/>
    <protectedRange sqref="T2:T7" name="Range1_6"/>
    <protectedRange sqref="K2:K7" name="Range1_1"/>
    <protectedRange sqref="L2:L7" name="Range1_5"/>
  </protectedRanges>
  <phoneticPr fontId="11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E2:E7</xm:sqref>
        </x14:dataValidation>
        <x14:dataValidation type="list" allowBlank="1" showInputMessage="1" showErrorMessage="1">
          <x14:formula1>
            <xm:f>#REF!</xm:f>
          </x14:formula1>
          <xm:sqref>S2:S7</xm:sqref>
        </x14:dataValidation>
        <x14:dataValidation type="list" allowBlank="1" showInputMessage="1" showErrorMessage="1">
          <x14:formula1>
            <xm:f>#REF!</xm:f>
          </x14:formula1>
          <xm:sqref>Y2:Y7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AF2:AF7 R2:R7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2026-06-29T08:43:48Z</dcterms:modified>
</cp:coreProperties>
</file>