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060A123-EB7E-4F00-B3FD-8FA1B4E1C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" i="14" l="1"/>
  <c r="AW5" i="14" s="1"/>
  <c r="AH5" i="14"/>
  <c r="AG5" i="14"/>
  <c r="AC5" i="14"/>
  <c r="AE5" i="14" s="1"/>
  <c r="AB5" i="14"/>
  <c r="AX4" i="14"/>
  <c r="AW4" i="14"/>
  <c r="AP4" i="14" s="1"/>
  <c r="AS4" i="14"/>
  <c r="AO4" i="14"/>
  <c r="AM4" i="14"/>
  <c r="AK4" i="14"/>
  <c r="AG4" i="14"/>
  <c r="AH4" i="14" s="1"/>
  <c r="AB4" i="14"/>
  <c r="AC4" i="14" s="1"/>
  <c r="AE4" i="14" s="1"/>
  <c r="AX3" i="14"/>
  <c r="AW3" i="14"/>
  <c r="AP3" i="14" s="1"/>
  <c r="AS3" i="14"/>
  <c r="AO3" i="14"/>
  <c r="AM3" i="14"/>
  <c r="AK3" i="14"/>
  <c r="AG3" i="14"/>
  <c r="AH3" i="14" s="1"/>
  <c r="AC3" i="14"/>
  <c r="AE3" i="14" s="1"/>
  <c r="AB3" i="14"/>
  <c r="AX2" i="14"/>
  <c r="AW2" i="14"/>
  <c r="AS2" i="14" s="1"/>
  <c r="AO2" i="14"/>
  <c r="AM2" i="14"/>
  <c r="AG2" i="14"/>
  <c r="AH2" i="14" s="1"/>
  <c r="AI2" i="14" s="1"/>
  <c r="AB2" i="14"/>
  <c r="AC2" i="14" s="1"/>
  <c r="AE2" i="14" s="1"/>
  <c r="AT3" i="14" l="1"/>
  <c r="AO5" i="14"/>
  <c r="AM5" i="14"/>
  <c r="AS5" i="14"/>
  <c r="AK5" i="14"/>
  <c r="AP5" i="14"/>
  <c r="AI3" i="14"/>
  <c r="AU3" i="14" s="1"/>
  <c r="AV3" i="14" s="1"/>
  <c r="AI4" i="14"/>
  <c r="AT4" i="14"/>
  <c r="AI5" i="14"/>
  <c r="AP2" i="14"/>
  <c r="AK2" i="14"/>
  <c r="AT5" i="14" l="1"/>
  <c r="AU5" i="14" s="1"/>
  <c r="AV5" i="14" s="1"/>
  <c r="AT2" i="14"/>
  <c r="AU2" i="14" s="1"/>
  <c r="AV2" i="14" s="1"/>
  <c r="AU4" i="14"/>
  <c r="AV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<sst xmlns="http://schemas.openxmlformats.org/spreadsheetml/2006/main" count="105" uniqueCount="71">
  <si>
    <t>Taran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</si>
  <si>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</si>
  <si>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</si>
  <si>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</si>
  <si>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</si>
  <si>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</si>
  <si>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</si>
  <si>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</si>
  <si>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</si>
  <si>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</si>
  <si>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</si>
  <si>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</si>
  <si>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</si>
  <si>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</si>
  <si>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</si>
  <si>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</si>
  <si>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</si>
  <si>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</si>
  <si>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</si>
  <si>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</si>
  <si>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</si>
  <si>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</si>
  <si>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</si>
  <si>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</si>
  <si>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</si>
  <si>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</si>
  <si>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</si>
  <si>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</si>
  <si>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</si>
  <si>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</si>
  <si>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</si>
  <si>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</si>
  <si>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</si>
  <si>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</si>
  <si>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</si>
  <si>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</si>
  <si>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</si>
  <si>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</si>
  <si>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</si>
  <si>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</si>
  <si>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</si>
  <si>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</si>
  <si>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</si>
  <si>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</si>
  <si>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</si>
  <si>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</si>
  <si>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</si>
  <si>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</si>
  <si>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</si>
  <si>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</si>
  <si>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</si>
  <si>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</si>
  <si>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</si>
  <si>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</si>
  <si>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</si>
  <si>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Qnty- Omni</t>
  </si>
  <si>
    <t>Qnty- Pureplay</t>
  </si>
  <si>
    <t>1st shipment with production lead time</t>
  </si>
  <si>
    <t xml:space="preserve">2nd shipment 8wks after 1st shipment
</t>
  </si>
  <si>
    <t>Initial Rollout Forecast</t>
  </si>
  <si>
    <t>100% Polyester 5 Pieces Comforter Set</t>
  </si>
  <si>
    <t>5 Pieces Comforter Set</t>
  </si>
  <si>
    <t>Comforter/Shams: 100% polyestejacquard face, 95gsm MF reverse. 270gsm comforter filling
Dec pillows: poly cover, poly filling.</t>
  </si>
  <si>
    <t>Face: 100%polyester Back: 100%polyester</t>
  </si>
  <si>
    <t>Full/Queen
1 Comforter 90''W x 92"L
2 Standard Shams 20''W x 26"L(2)
1 Decorative Pillow 18"W x 18"L
1 Decorative Pillow 12''W x 18"L</t>
  </si>
  <si>
    <t>Aqua</t>
  </si>
  <si>
    <t>Set</t>
  </si>
  <si>
    <t>Compressed/Knocked Down</t>
  </si>
  <si>
    <t>9404.40.9022</t>
  </si>
  <si>
    <t>King
1 Comforter 104''W x 94"L
2 King Shams 20''W x 36"L(2)
1 Decorative Pillow 18"W x 18"L
1 Decorative Pillow 12''W x 18"L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</si>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</sst>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&quot;$&quot;#,##0.00_);[Red]\(&quot;$&quot;#,##0.00\)"/>
    <numFmt numFmtId="185" formatCode="0_);[Red]\(0\)"/>
  </numFmts>
  <fonts count="12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 applyFont="0" applyFill="0" applyBorder="0" applyAlignment="0" applyProtection="0">
      <alignment vertical="center"/>
    </xf>
    <xf numFmtId="0" fontId="9" fillId="0" borderId="0"/>
    <xf numFmtId="0" fontId="3" fillId="0" borderId="0"/>
    <xf numFmtId="0" fontId="3" fillId="0" borderId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wrapText="1"/>
    </xf>
    <xf numFmtId="0" fontId="2" fillId="0" borderId="0" xfId="11" applyAlignment="1">
      <alignment horizontal="left" vertical="center" wrapText="1"/>
    </xf>
    <xf numFmtId="0" fontId="1" fillId="0" borderId="1" xfId="11" applyFont="1" applyBorder="1" applyAlignment="1">
      <alignment horizontal="center" wrapText="1"/>
    </xf>
    <xf numFmtId="0" fontId="1" fillId="4" borderId="1" xfId="11" applyFont="1" applyFill="1" applyBorder="1" applyAlignment="1">
      <alignment horizontal="center" wrapText="1"/>
    </xf>
    <xf numFmtId="0" fontId="4" fillId="4" borderId="1" xfId="11" applyFont="1" applyFill="1" applyBorder="1" applyAlignment="1">
      <alignment horizontal="center" wrapText="1"/>
    </xf>
    <xf numFmtId="0" fontId="4" fillId="5" borderId="1" xfId="11" applyFont="1" applyFill="1" applyBorder="1" applyAlignment="1">
      <alignment horizontal="center" wrapText="1"/>
    </xf>
    <xf numFmtId="0" fontId="1" fillId="5" borderId="1" xfId="11" applyFont="1" applyFill="1" applyBorder="1" applyAlignment="1">
      <alignment horizontal="center" wrapText="1"/>
    </xf>
    <xf numFmtId="179" fontId="1" fillId="3" borderId="1" xfId="11" applyNumberFormat="1" applyFont="1" applyFill="1" applyBorder="1" applyAlignment="1">
      <alignment horizontal="center" wrapText="1"/>
    </xf>
    <xf numFmtId="2" fontId="1" fillId="3" borderId="1" xfId="11" applyNumberFormat="1" applyFont="1" applyFill="1" applyBorder="1" applyAlignment="1">
      <alignment horizontal="center" wrapText="1"/>
    </xf>
    <xf numFmtId="178" fontId="6" fillId="3" borderId="1" xfId="12" applyNumberFormat="1" applyFont="1" applyFill="1" applyBorder="1" applyAlignment="1">
      <alignment wrapText="1"/>
    </xf>
    <xf numFmtId="178" fontId="1" fillId="6" borderId="2" xfId="11" applyNumberFormat="1" applyFont="1" applyFill="1" applyBorder="1" applyAlignment="1">
      <alignment horizontal="center" wrapText="1"/>
    </xf>
    <xf numFmtId="178" fontId="1" fillId="3" borderId="1" xfId="11" applyNumberFormat="1" applyFont="1" applyFill="1" applyBorder="1" applyAlignment="1">
      <alignment horizontal="center" wrapText="1"/>
    </xf>
    <xf numFmtId="0" fontId="4" fillId="0" borderId="1" xfId="11" applyFont="1" applyBorder="1" applyAlignment="1">
      <alignment horizontal="center" wrapText="1"/>
    </xf>
    <xf numFmtId="180" fontId="1" fillId="0" borderId="1" xfId="11" applyNumberFormat="1" applyFont="1" applyBorder="1" applyAlignment="1">
      <alignment horizontal="center" wrapText="1"/>
    </xf>
    <xf numFmtId="2" fontId="1" fillId="0" borderId="1" xfId="11" applyNumberFormat="1" applyFont="1" applyBorder="1" applyAlignment="1">
      <alignment horizontal="center" wrapText="1"/>
    </xf>
    <xf numFmtId="1" fontId="1" fillId="0" borderId="1" xfId="11" applyNumberFormat="1" applyFont="1" applyBorder="1" applyAlignment="1">
      <alignment horizontal="center" wrapText="1"/>
    </xf>
    <xf numFmtId="181" fontId="6" fillId="0" borderId="1" xfId="12" applyNumberFormat="1" applyFont="1" applyBorder="1" applyAlignment="1">
      <alignment wrapText="1"/>
    </xf>
    <xf numFmtId="1" fontId="6" fillId="0" borderId="1" xfId="12" applyNumberFormat="1" applyFont="1" applyBorder="1" applyAlignment="1">
      <alignment wrapText="1"/>
    </xf>
    <xf numFmtId="178" fontId="6" fillId="0" borderId="1" xfId="12" applyNumberFormat="1" applyFont="1" applyBorder="1" applyAlignment="1">
      <alignment wrapText="1"/>
    </xf>
    <xf numFmtId="10" fontId="1" fillId="0" borderId="1" xfId="11" applyNumberFormat="1" applyFont="1" applyBorder="1" applyAlignment="1">
      <alignment horizontal="center" wrapText="1"/>
    </xf>
    <xf numFmtId="178" fontId="6" fillId="2" borderId="1" xfId="12" applyNumberFormat="1" applyFont="1" applyFill="1" applyBorder="1" applyAlignment="1">
      <alignment wrapText="1"/>
    </xf>
    <xf numFmtId="10" fontId="6" fillId="2" borderId="1" xfId="12" applyNumberFormat="1" applyFont="1" applyFill="1" applyBorder="1" applyAlignment="1">
      <alignment wrapText="1"/>
    </xf>
    <xf numFmtId="178" fontId="1" fillId="2" borderId="1" xfId="11" applyNumberFormat="1" applyFont="1" applyFill="1" applyBorder="1" applyAlignment="1">
      <alignment horizontal="center" wrapText="1"/>
    </xf>
    <xf numFmtId="10" fontId="1" fillId="2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wrapText="1"/>
    </xf>
    <xf numFmtId="0" fontId="3" fillId="7" borderId="1" xfId="3" applyFill="1" applyBorder="1" applyAlignment="1">
      <alignment horizontal="center" vertical="center" wrapText="1"/>
    </xf>
    <xf numFmtId="0" fontId="2" fillId="0" borderId="1" xfId="11" applyBorder="1" applyAlignment="1">
      <alignment horizontal="left" vertical="center" wrapText="1"/>
    </xf>
    <xf numFmtId="0" fontId="7" fillId="0" borderId="1" xfId="4" applyFont="1" applyBorder="1" applyAlignment="1" applyProtection="1">
      <alignment horizontal="left" vertical="center" wrapText="1"/>
      <protection locked="0"/>
    </xf>
    <xf numFmtId="182" fontId="2" fillId="0" borderId="1" xfId="11" applyNumberFormat="1" applyBorder="1" applyAlignment="1">
      <alignment horizontal="left" vertical="center" wrapText="1"/>
    </xf>
    <xf numFmtId="182" fontId="8" fillId="0" borderId="1" xfId="2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83" fontId="2" fillId="0" borderId="1" xfId="11" applyNumberFormat="1" applyBorder="1" applyAlignment="1">
      <alignment horizontal="left" vertical="center" wrapText="1"/>
    </xf>
    <xf numFmtId="2" fontId="5" fillId="0" borderId="1" xfId="11" applyNumberFormat="1" applyFont="1" applyBorder="1" applyAlignment="1">
      <alignment horizontal="left" vertical="center" wrapText="1"/>
    </xf>
    <xf numFmtId="178" fontId="2" fillId="0" borderId="2" xfId="11" applyNumberFormat="1" applyBorder="1" applyAlignment="1">
      <alignment horizontal="left" vertical="center" wrapText="1"/>
    </xf>
    <xf numFmtId="178" fontId="2" fillId="0" borderId="1" xfId="11" applyNumberFormat="1" applyBorder="1" applyAlignment="1">
      <alignment horizontal="left" vertical="center" wrapText="1"/>
    </xf>
    <xf numFmtId="180" fontId="2" fillId="0" borderId="1" xfId="11" applyNumberFormat="1" applyBorder="1" applyAlignment="1">
      <alignment horizontal="left" vertical="center" wrapText="1"/>
    </xf>
    <xf numFmtId="2" fontId="2" fillId="0" borderId="1" xfId="11" applyNumberFormat="1" applyBorder="1" applyAlignment="1">
      <alignment horizontal="left" vertical="center" wrapText="1"/>
    </xf>
    <xf numFmtId="1" fontId="2" fillId="0" borderId="1" xfId="11" applyNumberFormat="1" applyBorder="1" applyAlignment="1">
      <alignment horizontal="left" vertical="center" wrapText="1"/>
    </xf>
    <xf numFmtId="181" fontId="2" fillId="8" borderId="1" xfId="11" applyNumberFormat="1" applyFill="1" applyBorder="1" applyAlignment="1">
      <alignment horizontal="left" vertical="center" wrapText="1"/>
    </xf>
    <xf numFmtId="1" fontId="2" fillId="8" borderId="1" xfId="11" applyNumberFormat="1" applyFill="1" applyBorder="1" applyAlignment="1">
      <alignment horizontal="left" vertical="center" wrapText="1"/>
    </xf>
    <xf numFmtId="184" fontId="2" fillId="0" borderId="1" xfId="11" applyNumberFormat="1" applyBorder="1" applyAlignment="1">
      <alignment horizontal="left" vertical="center" wrapText="1"/>
    </xf>
    <xf numFmtId="178" fontId="2" fillId="8" borderId="1" xfId="11" applyNumberFormat="1" applyFill="1" applyBorder="1" applyAlignment="1">
      <alignment horizontal="left" vertical="center" wrapText="1"/>
    </xf>
    <xf numFmtId="10" fontId="5" fillId="0" borderId="1" xfId="11" applyNumberFormat="1" applyFont="1" applyBorder="1" applyAlignment="1">
      <alignment horizontal="left" vertical="center" wrapText="1"/>
    </xf>
    <xf numFmtId="10" fontId="2" fillId="0" borderId="1" xfId="11" applyNumberFormat="1" applyBorder="1" applyAlignment="1">
      <alignment horizontal="left" vertical="center" wrapText="1"/>
    </xf>
    <xf numFmtId="10" fontId="2" fillId="8" borderId="1" xfId="10" applyNumberFormat="1" applyFont="1" applyFill="1" applyBorder="1" applyAlignment="1">
      <alignment horizontal="left" vertical="center" wrapText="1"/>
    </xf>
    <xf numFmtId="185" fontId="2" fillId="0" borderId="1" xfId="11" applyNumberFormat="1" applyBorder="1" applyAlignment="1">
      <alignment horizontal="left" vertical="center" wrapText="1"/>
    </xf>
    <xf numFmtId="185" fontId="1" fillId="5" borderId="1" xfId="11" applyNumberFormat="1" applyFont="1" applyFill="1" applyBorder="1" applyAlignment="1">
      <alignment horizontal="center" wrapText="1"/>
    </xf>
    <xf numFmtId="0" fontId="2" fillId="0" borderId="1" xfId="1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3">
    <cellStyle name="Currency 2" xfId="6" xr:uid="{00000000-0005-0000-0000-000036000000}"/>
    <cellStyle name="Currency 2 3 2" xfId="5" xr:uid="{00000000-0005-0000-0000-000035000000}"/>
    <cellStyle name="Currency_Sheet1 2" xfId="1" xr:uid="{00000000-0005-0000-0000-000031000000}"/>
    <cellStyle name="Normal 2" xfId="11" xr:uid="{00000000-0005-0000-0000-00003B000000}"/>
    <cellStyle name="Normal 2 18 2" xfId="12" xr:uid="{00000000-0005-0000-0000-00003C000000}"/>
    <cellStyle name="Normal 33" xfId="2" xr:uid="{00000000-0005-0000-0000-000032000000}"/>
    <cellStyle name="Normal_Copy of Request For Quote -- updated by VV on 043008 FINAL FINAL (4)" xfId="8" xr:uid="{00000000-0005-0000-0000-000038000000}"/>
    <cellStyle name="Normal_Fashion Bedding Fall 2012 2" xfId="3" xr:uid="{00000000-0005-0000-0000-000033000000}"/>
    <cellStyle name="Percent 2" xfId="10" xr:uid="{00000000-0005-0000-0000-00003A000000}"/>
    <cellStyle name="Style 1" xfId="7" xr:uid="{00000000-0005-0000-0000-000037000000}"/>
    <cellStyle name="常规" xfId="0" builtinId="0"/>
    <cellStyle name="常规 8" xfId="9" xr:uid="{00000000-0005-0000-0000-000039000000}"/>
    <cellStyle name="样式 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Adult\2026%20CMS\Ethan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E4DA33FF" TargetMode="External"/><Relationship Id="rId1" Type="http://schemas.openxmlformats.org/officeDocument/2006/relationships/externalLinkPath" Target="file:///\\E4DA33FF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C81C3A9" TargetMode="External"/><Relationship Id="rId1" Type="http://schemas.openxmlformats.org/officeDocument/2006/relationships/externalLinkPath" Target="file:///\\EC81C3A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CF6B6651" TargetMode="External"/><Relationship Id="rId1" Type="http://schemas.openxmlformats.org/officeDocument/2006/relationships/externalLinkPath" Target="file:///\\CF6B6651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Desktop\Ecom%20Adult\2026%20CMS\Ethan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46914C98" TargetMode="External"/><Relationship Id="rId1" Type="http://schemas.openxmlformats.org/officeDocument/2006/relationships/externalLinkPath" Target="file:///\\46914C98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B75D3E19" TargetMode="External"/><Relationship Id="rId1" Type="http://schemas.openxmlformats.org/officeDocument/2006/relationships/externalLinkPath" Target="file:///\\B75D3E19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C76A8D11" TargetMode="External"/><Relationship Id="rId1" Type="http://schemas.openxmlformats.org/officeDocument/2006/relationships/externalLinkPath" Target="file:///\\C76A8D11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19E15951" TargetMode="External"/><Relationship Id="rId1" Type="http://schemas.openxmlformats.org/officeDocument/2006/relationships/externalLinkPath" Target="file:///\\19E159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F6469200" TargetMode="External"/><Relationship Id="rId1" Type="http://schemas.openxmlformats.org/officeDocument/2006/relationships/externalLinkPath" Target="file:///\\F646920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6E2DE124" TargetMode="External"/><Relationship Id="rId1" Type="http://schemas.openxmlformats.org/officeDocument/2006/relationships/externalLinkPath" Target="file:///\\6E2DE124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483E05FB" TargetMode="External"/><Relationship Id="rId1" Type="http://schemas.openxmlformats.org/officeDocument/2006/relationships/externalLinkPath" Target="file:///\\483E05FB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13B890D6" TargetMode="External"/><Relationship Id="rId1" Type="http://schemas.openxmlformats.org/officeDocument/2006/relationships/externalLinkPath" Target="file:///\\13B890D6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31C15323" TargetMode="External"/><Relationship Id="rId1" Type="http://schemas.openxmlformats.org/officeDocument/2006/relationships/externalLinkPath" Target="file:///\\31C15323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6"/>
  <sheetViews>
    <sheetView tabSelected="1" topLeftCell="N4" zoomScale="98" zoomScaleNormal="98" workbookViewId="0">
      <selection activeCell="T4" sqref="T4:T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5.2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4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6" width="9.25" hidden="1" customWidth="1"/>
  </cols>
  <sheetData>
    <row r="1" spans="1:57" s="1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6" t="s">
        <v>57</v>
      </c>
      <c r="BD1" s="26" t="s">
        <v>58</v>
      </c>
      <c r="BE1" s="16" t="s">
        <v>59</v>
      </c>
    </row>
    <row r="2" spans="1:57" s="2" customFormat="1" ht="129" customHeight="1" x14ac:dyDescent="0.15">
      <c r="A2" s="27">
        <v>1</v>
      </c>
      <c r="B2" s="48"/>
      <c r="C2" s="48"/>
      <c r="D2" s="28" t="s">
        <v>2</v>
      </c>
      <c r="E2" s="27"/>
      <c r="F2" s="27" t="s">
        <v>4</v>
      </c>
      <c r="G2" s="27" t="s">
        <v>0</v>
      </c>
      <c r="H2" s="27" t="s">
        <v>60</v>
      </c>
      <c r="I2" s="27" t="s">
        <v>61</v>
      </c>
      <c r="J2" s="29" t="s">
        <v>62</v>
      </c>
      <c r="K2" s="27" t="s">
        <v>63</v>
      </c>
      <c r="L2" s="30" t="s">
        <v>64</v>
      </c>
      <c r="M2" s="27" t="s">
        <v>65</v>
      </c>
      <c r="N2" s="31"/>
      <c r="O2" s="31"/>
      <c r="P2" s="27" t="s">
        <v>66</v>
      </c>
      <c r="Q2" s="32">
        <v>128.5</v>
      </c>
      <c r="R2" s="33">
        <v>7.7</v>
      </c>
      <c r="S2" s="34">
        <v>16.690000000000001</v>
      </c>
      <c r="T2" s="34">
        <v>16.690000000000001</v>
      </c>
      <c r="U2" s="35"/>
      <c r="V2" s="27" t="s">
        <v>67</v>
      </c>
      <c r="W2" s="36">
        <v>46</v>
      </c>
      <c r="X2" s="36">
        <v>40</v>
      </c>
      <c r="Y2" s="36">
        <v>21</v>
      </c>
      <c r="Z2" s="37">
        <v>2</v>
      </c>
      <c r="AA2" s="38">
        <v>1</v>
      </c>
      <c r="AB2" s="39">
        <f>IF(W2="","",W2*X2*Y2/1000000)</f>
        <v>3.8640000000000001E-2</v>
      </c>
      <c r="AC2" s="40">
        <f>IF(AA2="","",65/AB2*AA2)</f>
        <v>1682.1946169772257</v>
      </c>
      <c r="AD2" s="41">
        <v>4100</v>
      </c>
      <c r="AE2" s="42">
        <f>IF(ISERROR(AD2/AC2),"",AD2/AC2)</f>
        <v>2.4372923076923079</v>
      </c>
      <c r="AF2" s="27" t="s">
        <v>68</v>
      </c>
      <c r="AG2" s="43">
        <f>12.8%+10%</f>
        <v>0.22800000000000001</v>
      </c>
      <c r="AH2" s="42">
        <f>IF(ISERROR(T2*AG2),"",T2*AG2)</f>
        <v>3.8053200000000005</v>
      </c>
      <c r="AI2" s="42">
        <f>IF(ISERROR(T2+AE2+AH2),"",T2+AE2+AH2)</f>
        <v>22.93261230769231</v>
      </c>
      <c r="AJ2" s="44">
        <v>0.06</v>
      </c>
      <c r="AK2" s="42">
        <f>IF(ISERROR(AW2*AJ2),"",AW2*AJ2)</f>
        <v>2.5711428571428567</v>
      </c>
      <c r="AL2" s="44">
        <v>0.1</v>
      </c>
      <c r="AM2" s="42">
        <f>IF(ISERROR(AW2*AL2),"",AW2*AL2)</f>
        <v>4.2852380952380953</v>
      </c>
      <c r="AN2" s="44">
        <v>0.1</v>
      </c>
      <c r="AO2" s="42">
        <f>IF(ISERROR(AW2*AN2),"",AW2*AN2)</f>
        <v>4.2852380952380953</v>
      </c>
      <c r="AP2" s="42">
        <f>IF((AX2-AW2)&lt;2.5,2.5-(AX2-AW2),0)</f>
        <v>0.35738095238095013</v>
      </c>
      <c r="AQ2" s="27"/>
      <c r="AR2" s="44"/>
      <c r="AS2" s="42">
        <f>IF(ISERROR(AW2*AR2),"",AW2*AR2)</f>
        <v>0</v>
      </c>
      <c r="AT2" s="42">
        <f>IF(ISERROR(AK2+AM2+AO2+AP2+AS2),"",AK2+AM2+AO2+AP2+AS2)</f>
        <v>11.498999999999999</v>
      </c>
      <c r="AU2" s="42">
        <f>IF(ISERROR(AI2+AT2),"",AI2+AT2)</f>
        <v>34.431612307692305</v>
      </c>
      <c r="AV2" s="45">
        <f>IF(ISERROR((AW2-AU2)/AW2),"",(AW2-AU2)/AW2)</f>
        <v>0.19650643575781923</v>
      </c>
      <c r="AW2" s="42">
        <f>IF(AX2="","",AX2/1.05)</f>
        <v>42.852380952380948</v>
      </c>
      <c r="AX2" s="42">
        <f>IF(ISERROR(AY2*(1-AZ2)),"",AY2*(1-AZ2))</f>
        <v>44.994999999999997</v>
      </c>
      <c r="AY2" s="35">
        <v>89.99</v>
      </c>
      <c r="AZ2" s="44">
        <v>0.5</v>
      </c>
      <c r="BA2" s="46">
        <v>280</v>
      </c>
      <c r="BB2" s="27">
        <v>100</v>
      </c>
      <c r="BC2" s="38"/>
      <c r="BD2" s="46"/>
      <c r="BE2" s="38">
        <v>450</v>
      </c>
    </row>
    <row r="3" spans="1:57" s="2" customFormat="1" ht="161.1" customHeight="1" x14ac:dyDescent="0.15">
      <c r="A3" s="27">
        <v>2</v>
      </c>
      <c r="B3" s="48"/>
      <c r="C3" s="48"/>
      <c r="D3" s="28" t="s">
        <v>2</v>
      </c>
      <c r="E3" s="27"/>
      <c r="F3" s="27" t="s">
        <v>4</v>
      </c>
      <c r="G3" s="27" t="s">
        <v>0</v>
      </c>
      <c r="H3" s="27" t="s">
        <v>60</v>
      </c>
      <c r="I3" s="27" t="s">
        <v>61</v>
      </c>
      <c r="J3" s="29" t="s">
        <v>62</v>
      </c>
      <c r="K3" s="27" t="s">
        <v>63</v>
      </c>
      <c r="L3" s="30" t="s">
        <v>69</v>
      </c>
      <c r="M3" s="27" t="s">
        <v>65</v>
      </c>
      <c r="N3" s="31"/>
      <c r="O3" s="31"/>
      <c r="P3" s="27" t="s">
        <v>66</v>
      </c>
      <c r="Q3" s="32">
        <v>142</v>
      </c>
      <c r="R3" s="33">
        <v>7.7</v>
      </c>
      <c r="S3" s="34">
        <v>18.440000000000001</v>
      </c>
      <c r="T3" s="34">
        <v>18.440000000000001</v>
      </c>
      <c r="U3" s="35"/>
      <c r="V3" s="27" t="s">
        <v>67</v>
      </c>
      <c r="W3" s="36">
        <v>46</v>
      </c>
      <c r="X3" s="36">
        <v>40</v>
      </c>
      <c r="Y3" s="36">
        <v>23</v>
      </c>
      <c r="Z3" s="37">
        <v>2</v>
      </c>
      <c r="AA3" s="38">
        <v>1</v>
      </c>
      <c r="AB3" s="39">
        <f>IF(W3="","",W3*X3*Y3/1000000)</f>
        <v>4.2320000000000003E-2</v>
      </c>
      <c r="AC3" s="40">
        <f>IF(AA3="","",65/AB3*AA3)</f>
        <v>1535.9168241965972</v>
      </c>
      <c r="AD3" s="41">
        <v>4100</v>
      </c>
      <c r="AE3" s="42">
        <f>IF(ISERROR(AD3/AC3),"",AD3/AC3)</f>
        <v>2.6694153846153847</v>
      </c>
      <c r="AF3" s="27" t="s">
        <v>68</v>
      </c>
      <c r="AG3" s="43">
        <f>12.8%+10%</f>
        <v>0.22800000000000001</v>
      </c>
      <c r="AH3" s="42">
        <f>IF(ISERROR(T3*AG3),"",T3*AG3)</f>
        <v>4.2043200000000001</v>
      </c>
      <c r="AI3" s="42">
        <f>IF(ISERROR(T3+AE3+AH3),"",T3+AE3+AH3)</f>
        <v>25.313735384615384</v>
      </c>
      <c r="AJ3" s="44">
        <v>0.06</v>
      </c>
      <c r="AK3" s="42">
        <f>IF(ISERROR(AW3*AJ3),"",AW3*AJ3)</f>
        <v>2.8568571428571423</v>
      </c>
      <c r="AL3" s="44">
        <v>0.1</v>
      </c>
      <c r="AM3" s="42">
        <f>IF(ISERROR(AW3*AL3),"",AW3*AL3)</f>
        <v>4.7614285714285707</v>
      </c>
      <c r="AN3" s="44">
        <v>0.1</v>
      </c>
      <c r="AO3" s="42">
        <f>IF(ISERROR(AW3*AN3),"",AW3*AN3)</f>
        <v>4.7614285714285707</v>
      </c>
      <c r="AP3" s="42">
        <f>IF((AX3-AW3)&lt;2.5,2.5-(AX3-AW3),0)</f>
        <v>0.11928571428570933</v>
      </c>
      <c r="AQ3" s="27"/>
      <c r="AR3" s="44"/>
      <c r="AS3" s="42">
        <f>IF(ISERROR(AW3*AR3),"",AW3*AR3)</f>
        <v>0</v>
      </c>
      <c r="AT3" s="42">
        <f>IF(ISERROR(AK3+AM3+AO3+AP3+AS3),"",AK3+AM3+AO3+AP3+AS3)</f>
        <v>12.498999999999993</v>
      </c>
      <c r="AU3" s="42">
        <f>IF(ISERROR(AI3+AT3),"",AI3+AT3)</f>
        <v>37.81273538461538</v>
      </c>
      <c r="AV3" s="45">
        <f>IF(ISERROR((AW3-AU3)/AW3),"",(AW3-AU3)/AW3)</f>
        <v>0.20585314223730064</v>
      </c>
      <c r="AW3" s="42">
        <f>IF(AX3="","",AX3/1.05)</f>
        <v>47.614285714285707</v>
      </c>
      <c r="AX3" s="42">
        <f>IF(ISERROR(AY3*(1-AZ3)),"",AY3*(1-AZ3))</f>
        <v>49.994999999999997</v>
      </c>
      <c r="AY3" s="35">
        <v>99.99</v>
      </c>
      <c r="AZ3" s="44">
        <v>0.5</v>
      </c>
      <c r="BA3" s="46">
        <v>190</v>
      </c>
      <c r="BB3" s="27">
        <v>70</v>
      </c>
      <c r="BC3" s="38"/>
      <c r="BD3" s="46"/>
      <c r="BE3" s="38">
        <v>370</v>
      </c>
    </row>
    <row r="4" spans="1:57" s="2" customFormat="1" ht="98.1" customHeight="1" x14ac:dyDescent="0.15">
      <c r="A4" s="27">
        <v>4</v>
      </c>
      <c r="B4" s="48"/>
      <c r="C4" s="48"/>
      <c r="D4" s="28" t="s">
        <v>2</v>
      </c>
      <c r="E4" s="27"/>
      <c r="F4" s="27" t="s">
        <v>4</v>
      </c>
      <c r="G4" s="27" t="s">
        <v>0</v>
      </c>
      <c r="H4" s="27" t="s">
        <v>60</v>
      </c>
      <c r="I4" s="27" t="s">
        <v>61</v>
      </c>
      <c r="J4" s="29" t="s">
        <v>62</v>
      </c>
      <c r="K4" s="27" t="s">
        <v>63</v>
      </c>
      <c r="L4" s="30" t="s">
        <v>64</v>
      </c>
      <c r="M4" s="27" t="s">
        <v>70</v>
      </c>
      <c r="N4" s="31"/>
      <c r="O4" s="31"/>
      <c r="P4" s="27" t="s">
        <v>66</v>
      </c>
      <c r="Q4" s="32">
        <v>128.5</v>
      </c>
      <c r="R4" s="33">
        <v>7.7</v>
      </c>
      <c r="S4" s="34">
        <v>16.690000000000001</v>
      </c>
      <c r="T4" s="34">
        <v>16.690000000000001</v>
      </c>
      <c r="U4" s="35"/>
      <c r="V4" s="27" t="s">
        <v>67</v>
      </c>
      <c r="W4" s="36">
        <v>46</v>
      </c>
      <c r="X4" s="36">
        <v>40</v>
      </c>
      <c r="Y4" s="36">
        <v>21</v>
      </c>
      <c r="Z4" s="37">
        <v>2</v>
      </c>
      <c r="AA4" s="38">
        <v>1</v>
      </c>
      <c r="AB4" s="39">
        <f>IF(W4="","",W4*X4*Y4/1000000)</f>
        <v>3.8640000000000001E-2</v>
      </c>
      <c r="AC4" s="40">
        <f>IF(AA4="","",65/AB4*AA4)</f>
        <v>1682.1946169772257</v>
      </c>
      <c r="AD4" s="41">
        <v>4100</v>
      </c>
      <c r="AE4" s="42">
        <f>IF(ISERROR(AD4/AC4),"",AD4/AC4)</f>
        <v>2.4372923076923079</v>
      </c>
      <c r="AF4" s="27" t="s">
        <v>68</v>
      </c>
      <c r="AG4" s="43">
        <f>12.8%+10%</f>
        <v>0.22800000000000001</v>
      </c>
      <c r="AH4" s="42">
        <f>IF(ISERROR(T4*AG4),"",T4*AG4)</f>
        <v>3.8053200000000005</v>
      </c>
      <c r="AI4" s="42">
        <f>IF(ISERROR(T4+AE4+AH4),"",T4+AE4+AH4)</f>
        <v>22.93261230769231</v>
      </c>
      <c r="AJ4" s="44">
        <v>0.06</v>
      </c>
      <c r="AK4" s="42">
        <f>IF(ISERROR(AW4*AJ4),"",AW4*AJ4)</f>
        <v>2.5711428571428567</v>
      </c>
      <c r="AL4" s="44">
        <v>0.1</v>
      </c>
      <c r="AM4" s="42">
        <f>IF(ISERROR(AW4*AL4),"",AW4*AL4)</f>
        <v>4.2852380952380953</v>
      </c>
      <c r="AN4" s="44">
        <v>0.1</v>
      </c>
      <c r="AO4" s="42">
        <f>IF(ISERROR(AW4*AN4),"",AW4*AN4)</f>
        <v>4.2852380952380953</v>
      </c>
      <c r="AP4" s="42">
        <f>IF((AX4-AW4)&lt;2.5,2.5-(AX4-AW4),0)</f>
        <v>0.35738095238095013</v>
      </c>
      <c r="AQ4" s="27"/>
      <c r="AR4" s="44"/>
      <c r="AS4" s="42">
        <f>IF(ISERROR(AW4*AR4),"",AW4*AR4)</f>
        <v>0</v>
      </c>
      <c r="AT4" s="42">
        <f>IF(ISERROR(AK4+AM4+AO4+AP4+AS4),"",AK4+AM4+AO4+AP4+AS4)</f>
        <v>11.498999999999999</v>
      </c>
      <c r="AU4" s="42">
        <f>IF(ISERROR(AI4+AT4),"",AI4+AT4)</f>
        <v>34.431612307692305</v>
      </c>
      <c r="AV4" s="45">
        <f>IF(ISERROR((AW4-AU4)/AW4),"",(AW4-AU4)/AW4)</f>
        <v>0.19650643575781923</v>
      </c>
      <c r="AW4" s="42">
        <f>IF(AX4="","",AX4/1.05)</f>
        <v>42.852380952380948</v>
      </c>
      <c r="AX4" s="42">
        <f>IF(ISERROR(AY4*(1-AZ4)),"",AY4*(1-AZ4))</f>
        <v>44.994999999999997</v>
      </c>
      <c r="AY4" s="35">
        <v>89.99</v>
      </c>
      <c r="AZ4" s="44">
        <v>0.5</v>
      </c>
      <c r="BA4" s="46">
        <v>280</v>
      </c>
      <c r="BB4" s="27">
        <v>220</v>
      </c>
      <c r="BC4" s="38"/>
      <c r="BD4" s="46"/>
      <c r="BE4" s="38">
        <v>450</v>
      </c>
    </row>
    <row r="5" spans="1:57" s="2" customFormat="1" ht="138.94999999999999" customHeight="1" x14ac:dyDescent="0.15">
      <c r="A5" s="27">
        <v>5</v>
      </c>
      <c r="B5" s="48"/>
      <c r="C5" s="48"/>
      <c r="D5" s="28" t="s">
        <v>2</v>
      </c>
      <c r="E5" s="27"/>
      <c r="F5" s="27" t="s">
        <v>4</v>
      </c>
      <c r="G5" s="27" t="s">
        <v>0</v>
      </c>
      <c r="H5" s="27" t="s">
        <v>60</v>
      </c>
      <c r="I5" s="27" t="s">
        <v>61</v>
      </c>
      <c r="J5" s="29" t="s">
        <v>62</v>
      </c>
      <c r="K5" s="27" t="s">
        <v>63</v>
      </c>
      <c r="L5" s="30" t="s">
        <v>69</v>
      </c>
      <c r="M5" s="27" t="s">
        <v>70</v>
      </c>
      <c r="N5" s="31"/>
      <c r="O5" s="31"/>
      <c r="P5" s="27" t="s">
        <v>66</v>
      </c>
      <c r="Q5" s="32">
        <v>142</v>
      </c>
      <c r="R5" s="33">
        <v>7.7</v>
      </c>
      <c r="S5" s="34">
        <v>18.440000000000001</v>
      </c>
      <c r="T5" s="34">
        <v>18.440000000000001</v>
      </c>
      <c r="U5" s="35"/>
      <c r="V5" s="27" t="s">
        <v>67</v>
      </c>
      <c r="W5" s="36">
        <v>46</v>
      </c>
      <c r="X5" s="36">
        <v>40</v>
      </c>
      <c r="Y5" s="36">
        <v>23</v>
      </c>
      <c r="Z5" s="37">
        <v>2</v>
      </c>
      <c r="AA5" s="38">
        <v>1</v>
      </c>
      <c r="AB5" s="39">
        <f>IF(W5="","",W5*X5*Y5/1000000)</f>
        <v>4.2320000000000003E-2</v>
      </c>
      <c r="AC5" s="40">
        <f>IF(AA5="","",65/AB5*AA5)</f>
        <v>1535.9168241965972</v>
      </c>
      <c r="AD5" s="41">
        <v>4100</v>
      </c>
      <c r="AE5" s="42">
        <f>IF(ISERROR(AD5/AC5),"",AD5/AC5)</f>
        <v>2.6694153846153847</v>
      </c>
      <c r="AF5" s="27" t="s">
        <v>68</v>
      </c>
      <c r="AG5" s="43">
        <f>12.8%+10%</f>
        <v>0.22800000000000001</v>
      </c>
      <c r="AH5" s="42">
        <f>IF(ISERROR(T5*AG5),"",T5*AG5)</f>
        <v>4.2043200000000001</v>
      </c>
      <c r="AI5" s="42">
        <f>IF(ISERROR(T5+AE5+AH5),"",T5+AE5+AH5)</f>
        <v>25.313735384615384</v>
      </c>
      <c r="AJ5" s="44">
        <v>0.06</v>
      </c>
      <c r="AK5" s="42">
        <f>IF(ISERROR(AW5*AJ5),"",AW5*AJ5)</f>
        <v>2.8568571428571423</v>
      </c>
      <c r="AL5" s="44">
        <v>0.1</v>
      </c>
      <c r="AM5" s="42">
        <f>IF(ISERROR(AW5*AL5),"",AW5*AL5)</f>
        <v>4.7614285714285707</v>
      </c>
      <c r="AN5" s="44">
        <v>0.1</v>
      </c>
      <c r="AO5" s="42">
        <f>IF(ISERROR(AW5*AN5),"",AW5*AN5)</f>
        <v>4.7614285714285707</v>
      </c>
      <c r="AP5" s="42">
        <f>IF((AX5-AW5)&lt;2.5,2.5-(AX5-AW5),0)</f>
        <v>0.11928571428570933</v>
      </c>
      <c r="AQ5" s="27"/>
      <c r="AR5" s="44"/>
      <c r="AS5" s="42">
        <f>IF(ISERROR(AW5*AR5),"",AW5*AR5)</f>
        <v>0</v>
      </c>
      <c r="AT5" s="42">
        <f>IF(ISERROR(AK5+AM5+AO5+AP5+AS5),"",AK5+AM5+AO5+AP5+AS5)</f>
        <v>12.498999999999993</v>
      </c>
      <c r="AU5" s="42">
        <f>IF(ISERROR(AI5+AT5),"",AI5+AT5)</f>
        <v>37.81273538461538</v>
      </c>
      <c r="AV5" s="45">
        <f>IF(ISERROR((AW5-AU5)/AW5),"",(AW5-AU5)/AW5)</f>
        <v>0.20585314223730064</v>
      </c>
      <c r="AW5" s="42">
        <f>IF(AX5="","",AX5/1.05)</f>
        <v>47.614285714285707</v>
      </c>
      <c r="AX5" s="42">
        <f>IF(ISERROR(AY5*(1-AZ5)),"",AY5*(1-AZ5))</f>
        <v>49.994999999999997</v>
      </c>
      <c r="AY5" s="35">
        <v>99.99</v>
      </c>
      <c r="AZ5" s="44">
        <v>0.5</v>
      </c>
      <c r="BA5" s="46">
        <v>190</v>
      </c>
      <c r="BB5" s="27">
        <v>150</v>
      </c>
      <c r="BC5" s="38"/>
      <c r="BD5" s="46"/>
      <c r="BE5" s="38">
        <v>370</v>
      </c>
    </row>
    <row r="6" spans="1:57" s="49" customFormat="1" ht="15" x14ac:dyDescent="0.25">
      <c r="BA6" s="47"/>
      <c r="BB6" s="47"/>
    </row>
  </sheetData>
  <protectedRanges>
    <protectedRange sqref="AZ2:AZ3 A2:B3 E2:E3 P2:R2 P3:Q3 M2:M3 R3:R5 Z2:AX2 AA3:AC3 AE3:AX3 AD3:AD5 Z3:Z5 S2:V3 S4:T5" name="Range1"/>
    <protectedRange sqref="K2:K3" name="Range1_1"/>
    <protectedRange sqref="C2:C5" name="Range1_2"/>
    <protectedRange sqref="BA15:BA17 AY2:AY5" name="Range1_3_1"/>
    <protectedRange sqref="N2:O3" name="Range1_5_1"/>
    <protectedRange sqref="BE2:BE5" name="Range1_3"/>
  </protectedRanges>
  <mergeCells count="4">
    <mergeCell ref="B2:B3"/>
    <mergeCell ref="B4:B5"/>
    <mergeCell ref="C2:C3"/>
    <mergeCell ref="C4:C5"/>
  </mergeCells>
  <phoneticPr fontId="11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14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_1" rangeCreator="" othersAccessPermission="edit"/>
    <arrUserId title="Range1_5_1" rangeCreator="" othersAccessPermission="edit"/>
    <arrUserId title="Range1_3" rangeCreator="" othersAccessPermission="edit"/>
  </rangeList>
  <rangeList sheetStid="12" master="" otherUserPermission="visible"/>
  <rangeList sheetStid="10" master="" otherUserPermission="visible"/>
  <rangeList sheetStid="11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1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2026-06-26T06:47:53Z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