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T4" i="5"/>
  <c r="T5" i="5"/>
  <c r="T2" i="5"/>
  <c r="S6" i="5"/>
  <c r="BU5" i="5"/>
  <c r="BM5" i="5" s="1"/>
  <c r="BO5" i="5"/>
  <c r="BK5" i="5"/>
  <c r="BB5" i="5"/>
  <c r="AW5" i="5"/>
  <c r="AT5" i="5"/>
  <c r="AU5" i="5" s="1"/>
  <c r="AQ5" i="5"/>
  <c r="AP5" i="5"/>
  <c r="AO5" i="5"/>
  <c r="AC5" i="5"/>
  <c r="AE5" i="5" s="1"/>
  <c r="AG5" i="5" s="1"/>
  <c r="AK5" i="5" s="1"/>
  <c r="W5" i="5"/>
  <c r="AJ5" i="5" s="1"/>
  <c r="BU4" i="5"/>
  <c r="BM4" i="5" s="1"/>
  <c r="BO4" i="5"/>
  <c r="BK4" i="5"/>
  <c r="BB4" i="5"/>
  <c r="AW4" i="5"/>
  <c r="AT4" i="5"/>
  <c r="AU4" i="5" s="1"/>
  <c r="AQ4" i="5"/>
  <c r="AP4" i="5"/>
  <c r="AO4" i="5"/>
  <c r="AC4" i="5"/>
  <c r="AE4" i="5" s="1"/>
  <c r="AG4" i="5" s="1"/>
  <c r="AK4" i="5" s="1"/>
  <c r="W4" i="5"/>
  <c r="AJ4" i="5" s="1"/>
  <c r="BU3" i="5"/>
  <c r="BM3" i="5" s="1"/>
  <c r="BO3" i="5"/>
  <c r="BK3" i="5"/>
  <c r="BB3" i="5"/>
  <c r="AW3" i="5"/>
  <c r="AT3" i="5"/>
  <c r="AU3" i="5" s="1"/>
  <c r="AQ3" i="5"/>
  <c r="AP3" i="5"/>
  <c r="AO3" i="5"/>
  <c r="AC3" i="5"/>
  <c r="AE3" i="5" s="1"/>
  <c r="AG3" i="5" s="1"/>
  <c r="AK3" i="5" s="1"/>
  <c r="W3" i="5"/>
  <c r="AJ3" i="5" s="1"/>
  <c r="BU2" i="5"/>
  <c r="BM2" i="5" s="1"/>
  <c r="BO2" i="5"/>
  <c r="BK2" i="5"/>
  <c r="BB2" i="5"/>
  <c r="AW2" i="5"/>
  <c r="AT2" i="5"/>
  <c r="AU2" i="5" s="1"/>
  <c r="AQ2" i="5"/>
  <c r="AP2" i="5"/>
  <c r="AO2" i="5"/>
  <c r="AC2" i="5"/>
  <c r="AE2" i="5" s="1"/>
  <c r="AG2" i="5" s="1"/>
  <c r="AK2" i="5" s="1"/>
  <c r="W2" i="5"/>
  <c r="AJ2" i="5" s="1"/>
  <c r="BR4" i="5" l="1"/>
  <c r="BR5" i="5"/>
  <c r="AY2" i="5"/>
  <c r="BC2" i="5" s="1"/>
  <c r="BF2" i="5"/>
  <c r="AY3" i="5"/>
  <c r="BC3" i="5" s="1"/>
  <c r="BF3" i="5"/>
  <c r="AY4" i="5"/>
  <c r="BC4" i="5" s="1"/>
  <c r="BF4" i="5"/>
  <c r="AY5" i="5"/>
  <c r="BC5" i="5" s="1"/>
  <c r="BF5" i="5"/>
  <c r="BP2" i="5" l="1"/>
  <c r="BT2" i="5" s="1"/>
  <c r="BP3" i="5"/>
  <c r="BQ3" i="5" s="1"/>
  <c r="BX3" i="5" s="1"/>
  <c r="BP4" i="5"/>
  <c r="BT4" i="5" s="1"/>
  <c r="BS4" i="5" s="1"/>
  <c r="BP5" i="5"/>
  <c r="BT5" i="5" s="1"/>
  <c r="BS5" i="5" s="1"/>
  <c r="BR3" i="5"/>
  <c r="BR2" i="5"/>
  <c r="BS2" i="5" s="1"/>
  <c r="BQ2" i="5"/>
  <c r="BW2" i="5" s="1"/>
  <c r="BQ4" i="5" l="1"/>
  <c r="BX4" i="5" s="1"/>
  <c r="BT3" i="5"/>
  <c r="BS3" i="5" s="1"/>
  <c r="BW3" i="5"/>
  <c r="BQ5" i="5"/>
  <c r="BX2" i="5"/>
  <c r="BW4" i="5" l="1"/>
  <c r="BW5" i="5"/>
  <c r="BX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<sst xmlns="http://schemas.openxmlformats.org/spreadsheetml/2006/main" count="128" uniqueCount="96">
  <si>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</si>
  <si>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</si>
  <si>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</si>
  <si>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</si>
  <si>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</si>
  <si>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</si>
  <si>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</si>
  <si>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</si>
  <si>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</si>
  <si>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</si>
  <si>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</si>
  <si>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</si>
  <si>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</si>
  <si>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</si>
  <si>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</si>
  <si>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</si>
  <si>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</si>
  <si>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</si>
  <si>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</si>
  <si>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</si>
  <si>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</si>
  <si>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</si>
  <si>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</si>
  <si>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</si>
  <si>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</si>
  <si>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</si>
  <si>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</si>
  <si>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</si>
  <si>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</si>
  <si>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</si>
  <si>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</si>
  <si>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</si>
  <si>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</si>
  <si>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</si>
  <si>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</si>
  <si>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</si>
  <si>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</si>
  <si>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</si>
  <si>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</si>
  <si>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</si>
  <si>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</si>
  <si>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</si>
  <si>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</si>
  <si>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</si>
  <si>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</si>
  <si>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</si>
  <si>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</si>
  <si>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</si>
  <si>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</si>
  <si>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</si>
  <si>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</si>
  <si>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</si>
  <si>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</si>
  <si>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</si>
  <si>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</si>
  <si>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</si>
  <si>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</si>
  <si>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</si>
  <si>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</si>
  <si>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</si>
  <si>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</si>
  <si>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</si>
  <si>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</si>
  <si>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</si>
  <si>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</si>
  <si>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</si>
  <si>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</si>
  <si>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</si>
  <si>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</si>
  <si>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</si>
  <si>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</si>
  <si>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</si>
  <si>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</si>
  <si>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</si>
  <si>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</si>
  <si>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</si>
  <si>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</si>
  <si>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</si>
  <si>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</si>
  <si>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</si>
  <si>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r>
      <rPr>
        <sz val="11"/>
        <rFont val="Calibri"/>
        <family val="2"/>
      </rPr>
      <t xml:space="preserve"> Cover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380gsm shaggy fur face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90cm hidden zipper, no lining. Insert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Grey Microfiber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filled with 1700gm 80%shredded foam+20%shredded memory foam.Packaging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Compress, non-woven bag with insert</t>
    </r>
  </si>
  <si>
    <t>100% polyester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</si>
  <si>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1PK </t>
    </r>
    <r>
      <rPr>
        <sz val="8"/>
        <color theme="1"/>
        <rFont val="宋体"/>
        <family val="3"/>
        <charset val="134"/>
      </rPr>
      <t>）</t>
    </r>
  </si>
  <si>
    <t>Dark Grey</t>
  </si>
  <si>
    <t>Piece</t>
  </si>
  <si>
    <t>Compressed/Knocked Down</t>
  </si>
  <si>
    <t xml:space="preserve"> 9404.90.2090</t>
  </si>
  <si>
    <t>Default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</si>
  <si>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2PK </t>
    </r>
    <r>
      <rPr>
        <sz val="8"/>
        <color theme="1"/>
        <rFont val="宋体"/>
        <family val="3"/>
        <charset val="134"/>
      </rPr>
      <t>）</t>
    </r>
  </si>
  <si>
    <t>Pair</t>
  </si>
  <si>
    <t>Brown</t>
  </si>
  <si>
    <t xml:space="preserve"> 9404.90.2090</t>
    <phoneticPr fontId="13" type="noConversion"/>
  </si>
  <si>
    <t>COD31-1713</t>
  </si>
  <si>
    <t>COD31-1714</t>
  </si>
  <si>
    <t>COD31-1715</t>
  </si>
  <si>
    <t>COD31-1712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</si>
</sst>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¥&quot;#,##0.00;&quot;¥&quot;\-#,##0.00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[$-409]dd/mmm/yy;@"/>
    <numFmt numFmtId="184" formatCode="&quot;$&quot;#,##0.00"/>
    <numFmt numFmtId="185" formatCode="_ * #,##0_ ;_ * \-#,##0_ ;_ * &quot;-&quot;??_ ;_ @_ 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4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color theme="1"/>
      <name val="等线"/>
      <charset val="134"/>
      <scheme val="minor"/>
    </font>
    <font>
      <sz val="8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3" fillId="0" borderId="0"/>
    <xf numFmtId="0" fontId="3" fillId="0" borderId="0"/>
    <xf numFmtId="178" fontId="1" fillId="0" borderId="0"/>
    <xf numFmtId="0" fontId="6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6" fillId="0" borderId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>
      <alignment vertical="center"/>
    </xf>
  </cellStyleXfs>
  <cellXfs count="74">
    <xf numFmtId="0" fontId="0" fillId="0" borderId="0" xfId="0"/>
    <xf numFmtId="0" fontId="12" fillId="0" borderId="0" xfId="4" applyAlignment="1">
      <alignment horizontal="center" wrapText="1"/>
    </xf>
    <xf numFmtId="0" fontId="12" fillId="0" borderId="0" xfId="4" applyAlignment="1">
      <alignment wrapText="1"/>
    </xf>
    <xf numFmtId="184" fontId="12" fillId="0" borderId="0" xfId="4" applyNumberFormat="1" applyAlignment="1">
      <alignment wrapText="1"/>
    </xf>
    <xf numFmtId="1" fontId="12" fillId="0" borderId="0" xfId="4" applyNumberFormat="1" applyAlignment="1">
      <alignment wrapText="1"/>
    </xf>
    <xf numFmtId="188" fontId="12" fillId="0" borderId="0" xfId="4" applyNumberFormat="1" applyAlignment="1">
      <alignment wrapText="1"/>
    </xf>
    <xf numFmtId="4" fontId="12" fillId="0" borderId="0" xfId="4" applyNumberFormat="1" applyAlignment="1">
      <alignment wrapText="1"/>
    </xf>
    <xf numFmtId="2" fontId="12" fillId="0" borderId="0" xfId="4" applyNumberFormat="1" applyAlignment="1">
      <alignment wrapText="1"/>
    </xf>
    <xf numFmtId="10" fontId="12" fillId="0" borderId="0" xfId="4" applyNumberFormat="1" applyAlignment="1">
      <alignment wrapText="1"/>
    </xf>
    <xf numFmtId="189" fontId="12" fillId="0" borderId="0" xfId="4" applyNumberFormat="1" applyAlignment="1">
      <alignment wrapText="1"/>
    </xf>
    <xf numFmtId="190" fontId="12" fillId="0" borderId="0" xfId="4" applyNumberFormat="1" applyAlignment="1">
      <alignment wrapText="1"/>
    </xf>
    <xf numFmtId="0" fontId="5" fillId="0" borderId="2" xfId="4" applyFont="1" applyBorder="1" applyAlignment="1">
      <alignment horizontal="center" wrapText="1"/>
    </xf>
    <xf numFmtId="0" fontId="5" fillId="7" borderId="2" xfId="4" applyFont="1" applyFill="1" applyBorder="1" applyAlignment="1">
      <alignment horizontal="center" wrapText="1"/>
    </xf>
    <xf numFmtId="0" fontId="4" fillId="7" borderId="2" xfId="4" applyFont="1" applyFill="1" applyBorder="1" applyAlignment="1">
      <alignment horizontal="center" wrapText="1"/>
    </xf>
    <xf numFmtId="0" fontId="4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1" fontId="5" fillId="0" borderId="2" xfId="4" applyNumberFormat="1" applyFont="1" applyBorder="1" applyAlignment="1">
      <alignment horizontal="center" wrapText="1"/>
    </xf>
    <xf numFmtId="184" fontId="5" fillId="3" borderId="2" xfId="4" applyNumberFormat="1" applyFont="1" applyFill="1" applyBorder="1" applyAlignment="1">
      <alignment wrapText="1"/>
    </xf>
    <xf numFmtId="4" fontId="5" fillId="3" borderId="2" xfId="4" applyNumberFormat="1" applyFont="1" applyFill="1" applyBorder="1" applyAlignment="1">
      <alignment wrapText="1"/>
    </xf>
    <xf numFmtId="2" fontId="5" fillId="3" borderId="2" xfId="4" applyNumberFormat="1" applyFont="1" applyFill="1" applyBorder="1" applyAlignment="1">
      <alignment wrapText="1"/>
    </xf>
    <xf numFmtId="184" fontId="8" fillId="8" borderId="2" xfId="5" applyNumberFormat="1" applyFont="1" applyFill="1" applyBorder="1" applyAlignment="1">
      <alignment wrapText="1"/>
    </xf>
    <xf numFmtId="0" fontId="4" fillId="0" borderId="2" xfId="4" applyFont="1" applyBorder="1" applyAlignment="1">
      <alignment horizontal="center" wrapText="1"/>
    </xf>
    <xf numFmtId="188" fontId="5" fillId="0" borderId="2" xfId="4" applyNumberFormat="1" applyFont="1" applyBorder="1" applyAlignment="1">
      <alignment horizontal="center" wrapText="1"/>
    </xf>
    <xf numFmtId="189" fontId="8" fillId="0" borderId="2" xfId="5" applyNumberFormat="1" applyFont="1" applyBorder="1" applyAlignment="1">
      <alignment wrapText="1"/>
    </xf>
    <xf numFmtId="2" fontId="9" fillId="0" borderId="2" xfId="5" applyNumberFormat="1" applyFont="1" applyBorder="1" applyAlignment="1">
      <alignment wrapText="1"/>
    </xf>
    <xf numFmtId="1" fontId="8" fillId="0" borderId="2" xfId="5" applyNumberFormat="1" applyFont="1" applyBorder="1" applyAlignment="1">
      <alignment wrapText="1"/>
    </xf>
    <xf numFmtId="184" fontId="8" fillId="0" borderId="2" xfId="5" applyNumberFormat="1" applyFont="1" applyBorder="1" applyAlignment="1">
      <alignment wrapText="1"/>
    </xf>
    <xf numFmtId="10" fontId="5" fillId="0" borderId="2" xfId="4" applyNumberFormat="1" applyFont="1" applyBorder="1" applyAlignment="1">
      <alignment horizontal="center" wrapText="1"/>
    </xf>
    <xf numFmtId="184" fontId="8" fillId="2" borderId="2" xfId="5" applyNumberFormat="1" applyFont="1" applyFill="1" applyBorder="1" applyAlignment="1">
      <alignment wrapText="1"/>
    </xf>
    <xf numFmtId="188" fontId="5" fillId="4" borderId="2" xfId="4" applyNumberFormat="1" applyFont="1" applyFill="1" applyBorder="1" applyAlignment="1">
      <alignment horizontal="center" wrapText="1"/>
    </xf>
    <xf numFmtId="1" fontId="8" fillId="4" borderId="2" xfId="5" applyNumberFormat="1" applyFont="1" applyFill="1" applyBorder="1" applyAlignment="1">
      <alignment wrapText="1"/>
    </xf>
    <xf numFmtId="2" fontId="8" fillId="4" borderId="2" xfId="5" applyNumberFormat="1" applyFont="1" applyFill="1" applyBorder="1" applyAlignment="1">
      <alignment wrapText="1"/>
    </xf>
    <xf numFmtId="2" fontId="5" fillId="4" borderId="2" xfId="4" applyNumberFormat="1" applyFont="1" applyFill="1" applyBorder="1" applyAlignment="1">
      <alignment horizontal="center" wrapText="1"/>
    </xf>
    <xf numFmtId="10" fontId="5" fillId="4" borderId="2" xfId="4" applyNumberFormat="1" applyFont="1" applyFill="1" applyBorder="1" applyAlignment="1">
      <alignment horizontal="center" wrapText="1"/>
    </xf>
    <xf numFmtId="10" fontId="5" fillId="5" borderId="2" xfId="4" applyNumberFormat="1" applyFont="1" applyFill="1" applyBorder="1" applyAlignment="1">
      <alignment horizontal="center" wrapText="1"/>
    </xf>
    <xf numFmtId="184" fontId="8" fillId="5" borderId="2" xfId="5" applyNumberFormat="1" applyFont="1" applyFill="1" applyBorder="1" applyAlignment="1">
      <alignment wrapText="1"/>
    </xf>
    <xf numFmtId="184" fontId="9" fillId="5" borderId="2" xfId="5" applyNumberFormat="1" applyFont="1" applyFill="1" applyBorder="1" applyAlignment="1">
      <alignment wrapText="1"/>
    </xf>
    <xf numFmtId="0" fontId="9" fillId="3" borderId="2" xfId="5" applyFont="1" applyFill="1" applyBorder="1" applyAlignment="1">
      <alignment wrapText="1"/>
    </xf>
    <xf numFmtId="184" fontId="8" fillId="3" borderId="2" xfId="5" applyNumberFormat="1" applyFont="1" applyFill="1" applyBorder="1" applyAlignment="1">
      <alignment wrapText="1"/>
    </xf>
    <xf numFmtId="184" fontId="9" fillId="3" borderId="2" xfId="5" applyNumberFormat="1" applyFont="1" applyFill="1" applyBorder="1" applyAlignment="1">
      <alignment wrapText="1"/>
    </xf>
    <xf numFmtId="10" fontId="5" fillId="3" borderId="2" xfId="4" applyNumberFormat="1" applyFont="1" applyFill="1" applyBorder="1" applyAlignment="1">
      <alignment horizontal="center" wrapText="1"/>
    </xf>
    <xf numFmtId="184" fontId="8" fillId="6" borderId="2" xfId="5" applyNumberFormat="1" applyFont="1" applyFill="1" applyBorder="1" applyAlignment="1">
      <alignment wrapText="1"/>
    </xf>
    <xf numFmtId="10" fontId="8" fillId="6" borderId="2" xfId="5" applyNumberFormat="1" applyFont="1" applyFill="1" applyBorder="1" applyAlignment="1">
      <alignment wrapText="1"/>
    </xf>
    <xf numFmtId="10" fontId="8" fillId="9" borderId="2" xfId="5" applyNumberFormat="1" applyFont="1" applyFill="1" applyBorder="1" applyAlignment="1">
      <alignment wrapText="1"/>
    </xf>
    <xf numFmtId="10" fontId="9" fillId="6" borderId="2" xfId="5" applyNumberFormat="1" applyFont="1" applyFill="1" applyBorder="1" applyAlignment="1">
      <alignment wrapText="1"/>
    </xf>
    <xf numFmtId="0" fontId="12" fillId="0" borderId="2" xfId="4" applyBorder="1" applyAlignment="1">
      <alignment horizontal="center" vertical="center" wrapText="1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77" fontId="2" fillId="11" borderId="6" xfId="0" applyNumberFormat="1" applyFont="1" applyFill="1" applyBorder="1" applyAlignment="1">
      <alignment horizontal="center" vertical="center"/>
    </xf>
    <xf numFmtId="188" fontId="12" fillId="0" borderId="2" xfId="4" applyNumberFormat="1" applyBorder="1" applyAlignment="1">
      <alignment horizontal="center" vertical="center"/>
    </xf>
    <xf numFmtId="1" fontId="12" fillId="0" borderId="2" xfId="4" applyNumberFormat="1" applyBorder="1" applyAlignment="1">
      <alignment horizontal="center" vertical="center"/>
    </xf>
    <xf numFmtId="189" fontId="12" fillId="10" borderId="2" xfId="4" applyNumberFormat="1" applyFill="1" applyBorder="1" applyAlignment="1">
      <alignment horizontal="center" vertical="center"/>
    </xf>
    <xf numFmtId="2" fontId="12" fillId="0" borderId="2" xfId="4" applyNumberFormat="1" applyBorder="1" applyAlignment="1">
      <alignment horizontal="center" vertical="center"/>
    </xf>
    <xf numFmtId="1" fontId="12" fillId="10" borderId="2" xfId="4" applyNumberFormat="1" applyFill="1" applyBorder="1" applyAlignment="1">
      <alignment horizontal="center" vertical="center"/>
    </xf>
    <xf numFmtId="3" fontId="12" fillId="0" borderId="2" xfId="4" applyNumberFormat="1" applyBorder="1" applyAlignment="1">
      <alignment horizontal="center" vertical="center"/>
    </xf>
    <xf numFmtId="184" fontId="12" fillId="10" borderId="2" xfId="4" applyNumberFormat="1" applyFill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193" fontId="12" fillId="0" borderId="2" xfId="4" applyNumberFormat="1" applyBorder="1" applyAlignment="1">
      <alignment horizontal="center" vertical="center"/>
    </xf>
    <xf numFmtId="2" fontId="12" fillId="10" borderId="2" xfId="4" applyNumberFormat="1" applyFill="1" applyBorder="1" applyAlignment="1">
      <alignment horizontal="center" vertical="center"/>
    </xf>
    <xf numFmtId="10" fontId="12" fillId="0" borderId="2" xfId="4" applyNumberFormat="1" applyBorder="1" applyAlignment="1">
      <alignment horizontal="center" vertical="center"/>
    </xf>
    <xf numFmtId="191" fontId="12" fillId="0" borderId="2" xfId="4" applyNumberFormat="1" applyBorder="1" applyAlignment="1">
      <alignment horizontal="center" vertical="center" wrapText="1"/>
    </xf>
    <xf numFmtId="192" fontId="12" fillId="0" borderId="2" xfId="4" applyNumberFormat="1" applyBorder="1" applyAlignment="1">
      <alignment horizontal="center" vertical="center" wrapText="1"/>
    </xf>
    <xf numFmtId="185" fontId="7" fillId="0" borderId="3" xfId="1" applyNumberFormat="1" applyFont="1" applyFill="1" applyBorder="1" applyAlignment="1">
      <alignment horizontal="center" vertical="center"/>
    </xf>
    <xf numFmtId="185" fontId="7" fillId="0" borderId="2" xfId="1" applyNumberFormat="1" applyFont="1" applyFill="1" applyBorder="1" applyAlignment="1">
      <alignment horizontal="center" vertical="center"/>
    </xf>
    <xf numFmtId="4" fontId="12" fillId="0" borderId="1" xfId="4" applyNumberFormat="1" applyBorder="1" applyAlignment="1">
      <alignment horizontal="center" vertical="center"/>
    </xf>
    <xf numFmtId="2" fontId="12" fillId="0" borderId="1" xfId="4" applyNumberFormat="1" applyBorder="1" applyAlignment="1">
      <alignment horizontal="center" vertical="center"/>
    </xf>
    <xf numFmtId="184" fontId="12" fillId="0" borderId="2" xfId="4" applyNumberFormat="1" applyBorder="1" applyAlignment="1">
      <alignment horizontal="center" vertical="center"/>
    </xf>
    <xf numFmtId="10" fontId="12" fillId="10" borderId="2" xfId="4" applyNumberFormat="1" applyFill="1" applyBorder="1" applyAlignment="1">
      <alignment horizontal="center" vertical="center"/>
    </xf>
    <xf numFmtId="184" fontId="12" fillId="0" borderId="0" xfId="4" applyNumberFormat="1" applyAlignment="1">
      <alignment horizontal="center" vertical="center"/>
    </xf>
    <xf numFmtId="10" fontId="0" fillId="10" borderId="2" xfId="11" applyNumberFormat="1" applyFont="1" applyFill="1" applyBorder="1" applyAlignment="1">
      <alignment horizontal="center" vertical="center"/>
    </xf>
    <xf numFmtId="0" fontId="12" fillId="0" borderId="0" xfId="4" applyAlignment="1">
      <alignment horizontal="center" vertical="center"/>
    </xf>
    <xf numFmtId="184" fontId="12" fillId="0" borderId="7" xfId="4" applyNumberFormat="1" applyBorder="1" applyAlignment="1">
      <alignment horizontal="center" vertical="center"/>
    </xf>
    <xf numFmtId="7" fontId="12" fillId="0" borderId="1" xfId="4" applyNumberFormat="1" applyBorder="1" applyAlignment="1">
      <alignment horizontal="center" vertical="center" wrapText="1"/>
    </xf>
    <xf numFmtId="0" fontId="12" fillId="2" borderId="2" xfId="4" applyFill="1" applyBorder="1" applyAlignment="1">
      <alignment horizontal="center" vertical="center" wrapText="1"/>
    </xf>
  </cellXfs>
  <cellStyles count="31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29"/>
    <cellStyle name="Percent 17" xfId="10"/>
    <cellStyle name="Percent 2" xfId="11"/>
    <cellStyle name="Percent 2 2 2" xfId="12"/>
    <cellStyle name="Style 1" xfId="13"/>
    <cellStyle name="百分比 2" xfId="14"/>
    <cellStyle name="百分比 2 2" xfId="15"/>
    <cellStyle name="百分比 3" xfId="16"/>
    <cellStyle name="百分比 5" xfId="17"/>
    <cellStyle name="常规" xfId="0" builtinId="0"/>
    <cellStyle name="常规 18" xfId="18"/>
    <cellStyle name="常规 2" xfId="19"/>
    <cellStyle name="常规 2 32" xfId="28"/>
    <cellStyle name="常规 3" xfId="20"/>
    <cellStyle name="常规 49" xfId="30"/>
    <cellStyle name="货币 2" xfId="21"/>
    <cellStyle name="货币 3" xfId="22"/>
    <cellStyle name="千位分隔" xfId="1" builtinId="3"/>
    <cellStyle name="千位分隔 2 2" xfId="27"/>
    <cellStyle name="千位分隔 4" xfId="23"/>
    <cellStyle name="样式 1 2" xfId="24"/>
    <cellStyle name="样式 1 2 2" xfId="25"/>
    <cellStyle name="样式 1 5" xfId="26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6"/>
  <sheetViews>
    <sheetView tabSelected="1" topLeftCell="AO1" zoomScale="80" zoomScaleNormal="80" workbookViewId="0">
      <selection activeCell="BI2" sqref="BI2:BI5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9" width="18" style="2" customWidth="1"/>
    <col min="10" max="10" width="33.140625" style="2" customWidth="1"/>
    <col min="11" max="11" width="12.42578125" style="2" customWidth="1"/>
    <col min="12" max="12" width="14.42578125" style="2" customWidth="1"/>
    <col min="13" max="13" width="14.5703125" style="2" customWidth="1"/>
    <col min="14" max="14" width="8.85546875" style="2" customWidth="1"/>
    <col min="15" max="15" width="15.42578125" style="2" customWidth="1"/>
    <col min="16" max="16" width="13.85546875" style="2" customWidth="1"/>
    <col min="17" max="17" width="8.85546875" style="3" customWidth="1"/>
    <col min="18" max="18" width="9.42578125" style="2" customWidth="1"/>
    <col min="19" max="19" width="11.7109375" style="4" customWidth="1"/>
    <col min="20" max="20" width="8.140625" style="5" customWidth="1"/>
    <col min="21" max="21" width="8.7109375" style="6" customWidth="1"/>
    <col min="22" max="22" width="8.7109375" style="7" customWidth="1"/>
    <col min="23" max="24" width="12.42578125" style="5" customWidth="1"/>
    <col min="25" max="25" width="9" style="5" customWidth="1"/>
    <col min="26" max="26" width="6.28515625" style="4" customWidth="1"/>
    <col min="27" max="27" width="7.5703125" style="7" customWidth="1"/>
    <col min="28" max="28" width="6.5703125" style="4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8" customWidth="1"/>
    <col min="33" max="33" width="10.7109375" style="3" customWidth="1"/>
    <col min="34" max="34" width="14.5703125" style="3" customWidth="1"/>
    <col min="35" max="35" width="11.5703125" style="3" customWidth="1"/>
    <col min="36" max="36" width="8.28515625" style="3" customWidth="1"/>
    <col min="37" max="37" width="11.5703125" style="8" customWidth="1"/>
    <col min="38" max="38" width="9" style="5" customWidth="1"/>
    <col min="39" max="39" width="9" style="4" customWidth="1"/>
    <col min="40" max="40" width="9" style="7" customWidth="1"/>
    <col min="41" max="41" width="9" style="4" customWidth="1"/>
    <col min="42" max="42" width="9" style="7" customWidth="1"/>
    <col min="43" max="43" width="9" style="4" customWidth="1"/>
    <col min="44" max="44" width="10" style="9" customWidth="1"/>
    <col min="45" max="45" width="10" style="8" customWidth="1"/>
    <col min="46" max="46" width="9" style="4" customWidth="1"/>
    <col min="47" max="47" width="11.140625" style="4" customWidth="1"/>
    <col min="48" max="48" width="7.140625" style="3" customWidth="1"/>
    <col min="49" max="49" width="6.85546875" style="8" customWidth="1"/>
    <col min="50" max="50" width="9.140625" style="3" customWidth="1"/>
    <col min="51" max="51" width="8.140625" style="8" customWidth="1"/>
    <col min="52" max="52" width="6.85546875" style="3" customWidth="1"/>
    <col min="53" max="53" width="10.5703125" style="3" customWidth="1"/>
    <col min="54" max="54" width="9.85546875" style="3" customWidth="1"/>
    <col min="55" max="55" width="8" style="3" customWidth="1"/>
    <col min="56" max="56" width="9.5703125" style="3" customWidth="1"/>
    <col min="57" max="57" width="10.85546875" style="3" customWidth="1"/>
    <col min="58" max="58" width="8.140625" style="8" customWidth="1"/>
    <col min="59" max="61" width="8.140625" style="3" customWidth="1"/>
    <col min="62" max="62" width="7.5703125" style="3" customWidth="1"/>
    <col min="63" max="63" width="8.140625" style="8" customWidth="1"/>
    <col min="64" max="64" width="7.5703125" style="3" customWidth="1"/>
    <col min="65" max="65" width="8.140625" style="8" customWidth="1"/>
    <col min="66" max="66" width="7.5703125" style="3" customWidth="1"/>
    <col min="67" max="68" width="8.140625" style="8" customWidth="1"/>
    <col min="69" max="69" width="14.7109375" style="8" customWidth="1"/>
    <col min="70" max="70" width="8.140625" style="8" customWidth="1"/>
    <col min="71" max="72" width="11.28515625" style="10" customWidth="1"/>
    <col min="73" max="75" width="10.42578125" style="3" customWidth="1"/>
    <col min="76" max="76" width="10.42578125" style="8" customWidth="1"/>
    <col min="77" max="16384" width="9.140625" style="2"/>
  </cols>
  <sheetData>
    <row r="1" spans="1:76" ht="57.95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5" t="s">
        <v>20</v>
      </c>
      <c r="S1" s="16" t="s">
        <v>21</v>
      </c>
      <c r="T1" s="17" t="s">
        <v>22</v>
      </c>
      <c r="U1" s="18" t="s">
        <v>23</v>
      </c>
      <c r="V1" s="19" t="s">
        <v>24</v>
      </c>
      <c r="W1" s="20" t="s">
        <v>25</v>
      </c>
      <c r="X1" s="21" t="s">
        <v>26</v>
      </c>
      <c r="Y1" s="22" t="s">
        <v>27</v>
      </c>
      <c r="Z1" s="22" t="s">
        <v>28</v>
      </c>
      <c r="AA1" s="22" t="s">
        <v>29</v>
      </c>
      <c r="AB1" s="16" t="s">
        <v>30</v>
      </c>
      <c r="AC1" s="23" t="s">
        <v>31</v>
      </c>
      <c r="AD1" s="24" t="s">
        <v>32</v>
      </c>
      <c r="AE1" s="25" t="s">
        <v>33</v>
      </c>
      <c r="AF1" s="11" t="s">
        <v>34</v>
      </c>
      <c r="AG1" s="26" t="s">
        <v>35</v>
      </c>
      <c r="AH1" s="11" t="s">
        <v>36</v>
      </c>
      <c r="AI1" s="27" t="s">
        <v>37</v>
      </c>
      <c r="AJ1" s="28" t="s">
        <v>38</v>
      </c>
      <c r="AK1" s="26" t="s">
        <v>39</v>
      </c>
      <c r="AL1" s="29" t="s">
        <v>40</v>
      </c>
      <c r="AM1" s="29" t="s">
        <v>41</v>
      </c>
      <c r="AN1" s="29" t="s">
        <v>42</v>
      </c>
      <c r="AO1" s="30" t="s">
        <v>43</v>
      </c>
      <c r="AP1" s="31" t="s">
        <v>44</v>
      </c>
      <c r="AQ1" s="31" t="s">
        <v>45</v>
      </c>
      <c r="AR1" s="32" t="s">
        <v>46</v>
      </c>
      <c r="AS1" s="33" t="s">
        <v>47</v>
      </c>
      <c r="AT1" s="31" t="s">
        <v>48</v>
      </c>
      <c r="AU1" s="31" t="s">
        <v>49</v>
      </c>
      <c r="AV1" s="34" t="s">
        <v>50</v>
      </c>
      <c r="AW1" s="35" t="s">
        <v>51</v>
      </c>
      <c r="AX1" s="34" t="s">
        <v>52</v>
      </c>
      <c r="AY1" s="35" t="s">
        <v>53</v>
      </c>
      <c r="AZ1" s="36" t="s">
        <v>54</v>
      </c>
      <c r="BA1" s="34" t="s">
        <v>55</v>
      </c>
      <c r="BB1" s="35" t="s">
        <v>56</v>
      </c>
      <c r="BC1" s="35" t="s">
        <v>57</v>
      </c>
      <c r="BD1" s="37" t="s">
        <v>58</v>
      </c>
      <c r="BE1" s="38" t="s">
        <v>59</v>
      </c>
      <c r="BF1" s="38" t="s">
        <v>60</v>
      </c>
      <c r="BG1" s="39" t="s">
        <v>61</v>
      </c>
      <c r="BH1" s="39" t="s">
        <v>62</v>
      </c>
      <c r="BI1" s="38" t="s">
        <v>63</v>
      </c>
      <c r="BJ1" s="40" t="s">
        <v>64</v>
      </c>
      <c r="BK1" s="38" t="s">
        <v>65</v>
      </c>
      <c r="BL1" s="40" t="s">
        <v>66</v>
      </c>
      <c r="BM1" s="38" t="s">
        <v>67</v>
      </c>
      <c r="BN1" s="40" t="s">
        <v>68</v>
      </c>
      <c r="BO1" s="38" t="s">
        <v>69</v>
      </c>
      <c r="BP1" s="38" t="s">
        <v>70</v>
      </c>
      <c r="BQ1" s="41" t="s">
        <v>71</v>
      </c>
      <c r="BR1" s="41" t="s">
        <v>72</v>
      </c>
      <c r="BS1" s="42" t="s">
        <v>73</v>
      </c>
      <c r="BT1" s="42" t="s">
        <v>74</v>
      </c>
      <c r="BU1" s="43" t="s">
        <v>75</v>
      </c>
      <c r="BV1" s="44" t="s">
        <v>76</v>
      </c>
      <c r="BW1" s="42" t="s">
        <v>77</v>
      </c>
      <c r="BX1" s="42" t="s">
        <v>78</v>
      </c>
    </row>
    <row r="2" spans="1:76" s="70" customFormat="1" ht="129.94999999999999" customHeight="1">
      <c r="A2" s="45">
        <v>1</v>
      </c>
      <c r="B2" s="45"/>
      <c r="C2" s="45"/>
      <c r="D2" s="45" t="s">
        <v>2</v>
      </c>
      <c r="E2" s="45"/>
      <c r="F2" s="45" t="s">
        <v>4</v>
      </c>
      <c r="G2" s="60"/>
      <c r="H2" s="61" t="s">
        <v>0</v>
      </c>
      <c r="I2" s="61" t="s">
        <v>79</v>
      </c>
      <c r="J2" s="45" t="s">
        <v>80</v>
      </c>
      <c r="K2" s="45" t="s">
        <v>81</v>
      </c>
      <c r="L2" s="62" t="s">
        <v>82</v>
      </c>
      <c r="M2" s="63" t="s">
        <v>83</v>
      </c>
      <c r="N2" s="45"/>
      <c r="O2" s="73" t="s">
        <v>95</v>
      </c>
      <c r="P2" s="45"/>
      <c r="Q2" s="45"/>
      <c r="R2" s="45" t="s">
        <v>84</v>
      </c>
      <c r="S2" s="50">
        <v>120</v>
      </c>
      <c r="T2" s="72">
        <f>U2</f>
        <v>57.5</v>
      </c>
      <c r="U2" s="64">
        <v>57.5</v>
      </c>
      <c r="V2" s="65">
        <v>7.7</v>
      </c>
      <c r="W2" s="55">
        <f>IF(ISERROR(U2/V2),"",U2/V2)</f>
        <v>7.47</v>
      </c>
      <c r="X2" s="56" t="s">
        <v>85</v>
      </c>
      <c r="Y2" s="49">
        <v>40</v>
      </c>
      <c r="Z2" s="49">
        <v>58</v>
      </c>
      <c r="AA2" s="49">
        <v>32</v>
      </c>
      <c r="AB2" s="50">
        <v>6</v>
      </c>
      <c r="AC2" s="51">
        <f>IF(Y2="","",Y2*Z2*AA2/1000000)</f>
        <v>7.3999999999999996E-2</v>
      </c>
      <c r="AD2" s="52">
        <v>56</v>
      </c>
      <c r="AE2" s="53">
        <f>IF(AB2="","",AD2/AC2*AB2)</f>
        <v>4541</v>
      </c>
      <c r="AF2" s="54">
        <v>2500</v>
      </c>
      <c r="AG2" s="55">
        <f>IF(ISERROR(AF2/AE2),"",AF2/AE2)</f>
        <v>0.55000000000000004</v>
      </c>
      <c r="AH2" s="56" t="s">
        <v>91</v>
      </c>
      <c r="AI2" s="57">
        <v>0.23499999999999999</v>
      </c>
      <c r="AJ2" s="55">
        <f>IF(ISERROR(W2*AI2),"",W2*AI2)</f>
        <v>1.76</v>
      </c>
      <c r="AK2" s="55">
        <f>IF(ISERROR(W2+AG2+AJ2),"",W2+AG2+AJ2)</f>
        <v>9.7799999999999994</v>
      </c>
      <c r="AL2" s="49">
        <v>14.5</v>
      </c>
      <c r="AM2" s="49">
        <v>11</v>
      </c>
      <c r="AN2" s="49">
        <v>4</v>
      </c>
      <c r="AO2" s="53">
        <f>IF(AM2="","",2*(AM2+AN2))</f>
        <v>30</v>
      </c>
      <c r="AP2" s="58">
        <f>IF(AL2="","",AL2*AM2*AN2/12/12/12)</f>
        <v>0.37</v>
      </c>
      <c r="AQ2" s="58">
        <f>IF(AL2="","",AM2*AN2*AL2/139)</f>
        <v>4.59</v>
      </c>
      <c r="AR2" s="52">
        <v>6.34</v>
      </c>
      <c r="AS2" s="59">
        <v>0.2</v>
      </c>
      <c r="AT2" s="46">
        <f>MAX(AQ2:AR2)*(1+AS2)</f>
        <v>7.61</v>
      </c>
      <c r="AU2" s="4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59">
        <v>0.06</v>
      </c>
      <c r="AW2" s="55">
        <f t="shared" ref="AW2:AW5" si="0">IF(ISERROR(BU2*AV2),"",BU2*AV2)</f>
        <v>2.04</v>
      </c>
      <c r="AX2" s="59">
        <v>0</v>
      </c>
      <c r="AY2" s="55">
        <f t="shared" ref="AY2:AY5" si="1">IF(ISERROR(BU2*AX2),"",BU2*AX2)</f>
        <v>0</v>
      </c>
      <c r="AZ2" s="66">
        <v>0</v>
      </c>
      <c r="BA2" s="59">
        <v>0.02</v>
      </c>
      <c r="BB2" s="55">
        <f t="shared" ref="BB2:BB5" si="2">IF(ISERROR(BU2*BA2),"",BU2*BA2)</f>
        <v>0.68</v>
      </c>
      <c r="BC2" s="55">
        <f t="shared" ref="BC2:BC5" si="3">IF(ISERROR(AW2+AY2+AZ2+BB2),"",AW2+AY2+AZ2+BB2)</f>
        <v>2.72</v>
      </c>
      <c r="BD2" s="66" t="s">
        <v>87</v>
      </c>
      <c r="BE2" s="67">
        <v>0.15</v>
      </c>
      <c r="BF2" s="55">
        <f t="shared" ref="BF2:BF5" si="4">IF(ISERROR(BU2*BE2),"",BU2*BE2)</f>
        <v>5.09</v>
      </c>
      <c r="BG2" s="48">
        <v>7.32</v>
      </c>
      <c r="BH2" s="68">
        <v>1.5</v>
      </c>
      <c r="BI2" s="55">
        <v>0.87</v>
      </c>
      <c r="BJ2" s="59">
        <v>0.1</v>
      </c>
      <c r="BK2" s="55">
        <f t="shared" ref="BK2:BK5" si="5">IF(ISERROR(BU2*BJ2),"",BU2*BJ2)</f>
        <v>3.39</v>
      </c>
      <c r="BL2" s="59">
        <v>0.03</v>
      </c>
      <c r="BM2" s="55">
        <f t="shared" ref="BM2:BM5" si="6">IF(ISERROR(BU2*BL2),"",BU2*BL2)</f>
        <v>1.02</v>
      </c>
      <c r="BN2" s="59">
        <v>7.4999999999999997E-3</v>
      </c>
      <c r="BO2" s="55">
        <f t="shared" ref="BO2:BO5" si="7">IF(ISERROR(BU2*BN2),"",BU2*BN2)</f>
        <v>0.25</v>
      </c>
      <c r="BP2" s="55">
        <f t="shared" ref="BP2:BP5" si="8">IF(ISERROR(BF2+BG2+BI2+BK2+BM2+BO2),"",BF2+BG2+BI2+BK2+BM2+BO2)</f>
        <v>17.940000000000001</v>
      </c>
      <c r="BQ2" s="55">
        <f t="shared" ref="BQ2:BQ5" si="9">IF(ISERROR(BC2+BP2),"",BC2+BP2)</f>
        <v>20.66</v>
      </c>
      <c r="BR2" s="55">
        <f t="shared" ref="BR2:BR5" si="10">IF(ISERROR(AK2+AY2),"",AK2+AY2)</f>
        <v>9.7799999999999994</v>
      </c>
      <c r="BS2" s="69">
        <f t="shared" ref="BS2:BS5" si="11">IF(ISERROR((BT2-BR2)/BT2),"",(BT2-BR2)/BT2)</f>
        <v>0.2636</v>
      </c>
      <c r="BT2" s="55">
        <f t="shared" ref="BT2:BT5" si="12">IF(ISERROR(BU2-AW2-AZ2-BB2-BP2),"",BU2-AW2-AZ2-BB2-BP2)</f>
        <v>13.28</v>
      </c>
      <c r="BU2" s="58">
        <f>IF(BV2="","",BV2*(1-BL2))</f>
        <v>33.94</v>
      </c>
      <c r="BV2" s="66">
        <v>34.99</v>
      </c>
      <c r="BW2" s="55">
        <f t="shared" ref="BW2:BW5" si="13">IF(ISERROR(AK2+BQ2),"",AK2+BQ2)</f>
        <v>30.44</v>
      </c>
      <c r="BX2" s="67">
        <f t="shared" ref="BX2:BX5" si="14">IF(ISERROR(BQ2/BU2),"",BQ2/BU2-6%)</f>
        <v>0.54869999999999997</v>
      </c>
    </row>
    <row r="3" spans="1:76" s="70" customFormat="1" ht="129.94999999999999" customHeight="1">
      <c r="A3" s="45">
        <v>2</v>
      </c>
      <c r="B3" s="45"/>
      <c r="C3" s="45"/>
      <c r="D3" s="45" t="s">
        <v>2</v>
      </c>
      <c r="E3" s="45"/>
      <c r="F3" s="45" t="s">
        <v>4</v>
      </c>
      <c r="G3" s="60"/>
      <c r="H3" s="45" t="s">
        <v>0</v>
      </c>
      <c r="I3" s="45" t="s">
        <v>79</v>
      </c>
      <c r="J3" s="45" t="s">
        <v>80</v>
      </c>
      <c r="K3" s="45" t="s">
        <v>81</v>
      </c>
      <c r="L3" s="62" t="s">
        <v>88</v>
      </c>
      <c r="M3" s="63" t="s">
        <v>83</v>
      </c>
      <c r="N3" s="45"/>
      <c r="O3" s="73" t="s">
        <v>92</v>
      </c>
      <c r="P3" s="45"/>
      <c r="Q3" s="45"/>
      <c r="R3" s="45" t="s">
        <v>89</v>
      </c>
      <c r="S3" s="50">
        <v>177</v>
      </c>
      <c r="T3" s="72">
        <f t="shared" ref="T3:T5" si="15">U3</f>
        <v>110</v>
      </c>
      <c r="U3" s="64">
        <v>110</v>
      </c>
      <c r="V3" s="65">
        <v>7.7</v>
      </c>
      <c r="W3" s="55">
        <f>IF(ISERROR(U3/V3),"",U3/V3)</f>
        <v>14.29</v>
      </c>
      <c r="X3" s="56" t="s">
        <v>85</v>
      </c>
      <c r="Y3" s="49">
        <v>44</v>
      </c>
      <c r="Z3" s="49">
        <v>33</v>
      </c>
      <c r="AA3" s="49">
        <v>56</v>
      </c>
      <c r="AB3" s="50">
        <v>3</v>
      </c>
      <c r="AC3" s="51">
        <f>IF(Y3="","",Y3*Z3*AA3/1000000)</f>
        <v>8.1000000000000003E-2</v>
      </c>
      <c r="AD3" s="52">
        <v>56</v>
      </c>
      <c r="AE3" s="53">
        <f>IF(AB3="","",AD3/AC3*AB3)</f>
        <v>2074</v>
      </c>
      <c r="AF3" s="54">
        <v>2500</v>
      </c>
      <c r="AG3" s="55">
        <f>IF(ISERROR(AF3/AE3),"",AF3/AE3)</f>
        <v>1.21</v>
      </c>
      <c r="AH3" s="56" t="s">
        <v>86</v>
      </c>
      <c r="AI3" s="57">
        <v>0.23499999999999999</v>
      </c>
      <c r="AJ3" s="55">
        <f>IF(ISERROR(W3*AI3),"",W3*AI3)</f>
        <v>3.36</v>
      </c>
      <c r="AK3" s="55">
        <f>IF(ISERROR(W3+AG3+AJ3),"",W3+AG3+AJ3)</f>
        <v>18.86</v>
      </c>
      <c r="AL3" s="49">
        <v>16.5</v>
      </c>
      <c r="AM3" s="49">
        <v>12</v>
      </c>
      <c r="AN3" s="49">
        <v>7</v>
      </c>
      <c r="AO3" s="53">
        <f>IF(AM3="","",2*(AM3+AN3))</f>
        <v>38</v>
      </c>
      <c r="AP3" s="58">
        <f>IF(AL3="","",AL3*AM3*AN3/12/12/12)</f>
        <v>0.8</v>
      </c>
      <c r="AQ3" s="58">
        <f>IF(AL3="","",AM3*AN3*AL3/139)</f>
        <v>9.9700000000000006</v>
      </c>
      <c r="AR3" s="52">
        <v>11.56</v>
      </c>
      <c r="AS3" s="59">
        <v>0.2</v>
      </c>
      <c r="AT3" s="46">
        <f>MAX(AQ3:AR3)*(1+AS3)</f>
        <v>13.87</v>
      </c>
      <c r="AU3" s="4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59">
        <v>0.06</v>
      </c>
      <c r="AW3" s="55">
        <f t="shared" si="0"/>
        <v>3.49</v>
      </c>
      <c r="AX3" s="59">
        <v>0</v>
      </c>
      <c r="AY3" s="55">
        <f t="shared" si="1"/>
        <v>0</v>
      </c>
      <c r="AZ3" s="66">
        <v>0</v>
      </c>
      <c r="BA3" s="59">
        <v>0.02</v>
      </c>
      <c r="BB3" s="55">
        <f t="shared" si="2"/>
        <v>1.1599999999999999</v>
      </c>
      <c r="BC3" s="55">
        <f t="shared" si="3"/>
        <v>4.6500000000000004</v>
      </c>
      <c r="BD3" s="66" t="s">
        <v>87</v>
      </c>
      <c r="BE3" s="67">
        <v>0.15</v>
      </c>
      <c r="BF3" s="55">
        <f t="shared" si="4"/>
        <v>8.73</v>
      </c>
      <c r="BG3" s="48">
        <v>9.98</v>
      </c>
      <c r="BH3" s="71">
        <v>1.5</v>
      </c>
      <c r="BI3" s="55">
        <v>1.89</v>
      </c>
      <c r="BJ3" s="59">
        <v>0.1</v>
      </c>
      <c r="BK3" s="55">
        <f t="shared" si="5"/>
        <v>5.82</v>
      </c>
      <c r="BL3" s="59">
        <v>0.03</v>
      </c>
      <c r="BM3" s="55">
        <f t="shared" si="6"/>
        <v>1.75</v>
      </c>
      <c r="BN3" s="59">
        <v>7.4999999999999997E-3</v>
      </c>
      <c r="BO3" s="55">
        <f t="shared" si="7"/>
        <v>0.44</v>
      </c>
      <c r="BP3" s="55">
        <f t="shared" si="8"/>
        <v>28.61</v>
      </c>
      <c r="BQ3" s="55">
        <f t="shared" si="9"/>
        <v>33.26</v>
      </c>
      <c r="BR3" s="55">
        <f t="shared" si="10"/>
        <v>18.86</v>
      </c>
      <c r="BS3" s="69">
        <f t="shared" si="11"/>
        <v>0.24349999999999999</v>
      </c>
      <c r="BT3" s="55">
        <f t="shared" si="12"/>
        <v>24.93</v>
      </c>
      <c r="BU3" s="58">
        <f t="shared" ref="BU3:BU5" si="16">IF(BV3="","",BV3*(1-BL3))</f>
        <v>58.19</v>
      </c>
      <c r="BV3" s="66">
        <v>59.99</v>
      </c>
      <c r="BW3" s="55">
        <f t="shared" si="13"/>
        <v>52.12</v>
      </c>
      <c r="BX3" s="67">
        <f t="shared" si="14"/>
        <v>0.51160000000000005</v>
      </c>
    </row>
    <row r="4" spans="1:76" s="70" customFormat="1" ht="129.94999999999999" customHeight="1">
      <c r="A4" s="45">
        <v>3</v>
      </c>
      <c r="B4" s="45"/>
      <c r="C4" s="45"/>
      <c r="D4" s="45" t="s">
        <v>2</v>
      </c>
      <c r="E4" s="45"/>
      <c r="F4" s="45" t="s">
        <v>4</v>
      </c>
      <c r="G4" s="60"/>
      <c r="H4" s="45" t="s">
        <v>0</v>
      </c>
      <c r="I4" s="45" t="s">
        <v>79</v>
      </c>
      <c r="J4" s="45" t="s">
        <v>80</v>
      </c>
      <c r="K4" s="45" t="s">
        <v>81</v>
      </c>
      <c r="L4" s="62" t="s">
        <v>82</v>
      </c>
      <c r="M4" s="63" t="s">
        <v>90</v>
      </c>
      <c r="N4" s="45"/>
      <c r="O4" s="73" t="s">
        <v>93</v>
      </c>
      <c r="P4" s="45"/>
      <c r="Q4" s="45"/>
      <c r="R4" s="45" t="s">
        <v>84</v>
      </c>
      <c r="S4" s="50">
        <v>138</v>
      </c>
      <c r="T4" s="72">
        <f t="shared" si="15"/>
        <v>57.5</v>
      </c>
      <c r="U4" s="64">
        <v>57.5</v>
      </c>
      <c r="V4" s="65">
        <v>7.7</v>
      </c>
      <c r="W4" s="55">
        <f>IF(ISERROR(U4/V4),"",U4/V4)</f>
        <v>7.47</v>
      </c>
      <c r="X4" s="56" t="s">
        <v>85</v>
      </c>
      <c r="Y4" s="49">
        <v>40</v>
      </c>
      <c r="Z4" s="49">
        <v>58</v>
      </c>
      <c r="AA4" s="49">
        <v>32</v>
      </c>
      <c r="AB4" s="50">
        <v>6</v>
      </c>
      <c r="AC4" s="51">
        <f>IF(Y4="","",Y4*Z4*AA4/1000000)</f>
        <v>7.3999999999999996E-2</v>
      </c>
      <c r="AD4" s="52">
        <v>56</v>
      </c>
      <c r="AE4" s="53">
        <f>IF(AB4="","",AD4/AC4*AB4)</f>
        <v>4541</v>
      </c>
      <c r="AF4" s="54">
        <v>2500</v>
      </c>
      <c r="AG4" s="55">
        <f>IF(ISERROR(AF4/AE4),"",AF4/AE4)</f>
        <v>0.55000000000000004</v>
      </c>
      <c r="AH4" s="56" t="s">
        <v>86</v>
      </c>
      <c r="AI4" s="57">
        <v>0.23499999999999999</v>
      </c>
      <c r="AJ4" s="55">
        <f>IF(ISERROR(W4*AI4),"",W4*AI4)</f>
        <v>1.76</v>
      </c>
      <c r="AK4" s="55">
        <f>IF(ISERROR(W4+AG4+AJ4),"",W4+AG4+AJ4)</f>
        <v>9.7799999999999994</v>
      </c>
      <c r="AL4" s="49">
        <v>14.5</v>
      </c>
      <c r="AM4" s="49">
        <v>11</v>
      </c>
      <c r="AN4" s="49">
        <v>4</v>
      </c>
      <c r="AO4" s="53">
        <f>IF(AM4="","",2*(AM4+AN4))</f>
        <v>30</v>
      </c>
      <c r="AP4" s="58">
        <f>IF(AL4="","",AL4*AM4*AN4/12/12/12)</f>
        <v>0.37</v>
      </c>
      <c r="AQ4" s="58">
        <f>IF(AL4="","",AM4*AN4*AL4/139)</f>
        <v>4.59</v>
      </c>
      <c r="AR4" s="52">
        <v>6.34</v>
      </c>
      <c r="AS4" s="59">
        <v>0.2</v>
      </c>
      <c r="AT4" s="46">
        <f>MAX(AQ4:AR4)*(1+AS4)</f>
        <v>7.61</v>
      </c>
      <c r="AU4" s="47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59">
        <v>0.06</v>
      </c>
      <c r="AW4" s="55">
        <f t="shared" si="0"/>
        <v>2.04</v>
      </c>
      <c r="AX4" s="59">
        <v>0</v>
      </c>
      <c r="AY4" s="55">
        <f t="shared" si="1"/>
        <v>0</v>
      </c>
      <c r="AZ4" s="66">
        <v>0</v>
      </c>
      <c r="BA4" s="59">
        <v>0.02</v>
      </c>
      <c r="BB4" s="55">
        <f t="shared" si="2"/>
        <v>0.68</v>
      </c>
      <c r="BC4" s="55">
        <f t="shared" si="3"/>
        <v>2.72</v>
      </c>
      <c r="BD4" s="66" t="s">
        <v>87</v>
      </c>
      <c r="BE4" s="67">
        <v>0.15</v>
      </c>
      <c r="BF4" s="55">
        <f t="shared" si="4"/>
        <v>5.09</v>
      </c>
      <c r="BG4" s="48">
        <v>7.32</v>
      </c>
      <c r="BH4" s="71">
        <v>1.5</v>
      </c>
      <c r="BI4" s="55">
        <v>0.87</v>
      </c>
      <c r="BJ4" s="59">
        <v>0.1</v>
      </c>
      <c r="BK4" s="55">
        <f t="shared" si="5"/>
        <v>3.39</v>
      </c>
      <c r="BL4" s="59">
        <v>0.03</v>
      </c>
      <c r="BM4" s="55">
        <f t="shared" si="6"/>
        <v>1.02</v>
      </c>
      <c r="BN4" s="59">
        <v>7.4999999999999997E-3</v>
      </c>
      <c r="BO4" s="55">
        <f t="shared" si="7"/>
        <v>0.25</v>
      </c>
      <c r="BP4" s="55">
        <f t="shared" si="8"/>
        <v>17.940000000000001</v>
      </c>
      <c r="BQ4" s="55">
        <f t="shared" si="9"/>
        <v>20.66</v>
      </c>
      <c r="BR4" s="55">
        <f t="shared" si="10"/>
        <v>9.7799999999999994</v>
      </c>
      <c r="BS4" s="69">
        <f t="shared" si="11"/>
        <v>0.2636</v>
      </c>
      <c r="BT4" s="55">
        <f t="shared" si="12"/>
        <v>13.28</v>
      </c>
      <c r="BU4" s="58">
        <f t="shared" si="16"/>
        <v>33.94</v>
      </c>
      <c r="BV4" s="66">
        <v>34.99</v>
      </c>
      <c r="BW4" s="55">
        <f t="shared" si="13"/>
        <v>30.44</v>
      </c>
      <c r="BX4" s="67">
        <f t="shared" si="14"/>
        <v>0.54869999999999997</v>
      </c>
    </row>
    <row r="5" spans="1:76" s="70" customFormat="1" ht="129.94999999999999" customHeight="1">
      <c r="A5" s="45">
        <v>4</v>
      </c>
      <c r="B5" s="45"/>
      <c r="C5" s="45"/>
      <c r="D5" s="45" t="s">
        <v>2</v>
      </c>
      <c r="E5" s="45"/>
      <c r="F5" s="45" t="s">
        <v>4</v>
      </c>
      <c r="G5" s="60"/>
      <c r="H5" s="45" t="s">
        <v>0</v>
      </c>
      <c r="I5" s="45" t="s">
        <v>79</v>
      </c>
      <c r="J5" s="45" t="s">
        <v>80</v>
      </c>
      <c r="K5" s="45" t="s">
        <v>81</v>
      </c>
      <c r="L5" s="63" t="s">
        <v>88</v>
      </c>
      <c r="M5" s="63" t="s">
        <v>90</v>
      </c>
      <c r="N5" s="45"/>
      <c r="O5" s="73" t="s">
        <v>94</v>
      </c>
      <c r="P5" s="45"/>
      <c r="Q5" s="45"/>
      <c r="R5" s="45" t="s">
        <v>89</v>
      </c>
      <c r="S5" s="50">
        <v>213</v>
      </c>
      <c r="T5" s="72">
        <f t="shared" si="15"/>
        <v>110</v>
      </c>
      <c r="U5" s="64">
        <v>110</v>
      </c>
      <c r="V5" s="65">
        <v>7.7</v>
      </c>
      <c r="W5" s="55">
        <f>IF(ISERROR(U5/V5),"",U5/V5)</f>
        <v>14.29</v>
      </c>
      <c r="X5" s="56" t="s">
        <v>85</v>
      </c>
      <c r="Y5" s="49">
        <v>44</v>
      </c>
      <c r="Z5" s="49">
        <v>33</v>
      </c>
      <c r="AA5" s="49">
        <v>56</v>
      </c>
      <c r="AB5" s="50">
        <v>3</v>
      </c>
      <c r="AC5" s="51">
        <f>IF(Y5="","",Y5*Z5*AA5/1000000)</f>
        <v>8.1000000000000003E-2</v>
      </c>
      <c r="AD5" s="52">
        <v>56</v>
      </c>
      <c r="AE5" s="53">
        <f>IF(AB5="","",AD5/AC5*AB5)</f>
        <v>2074</v>
      </c>
      <c r="AF5" s="54">
        <v>2500</v>
      </c>
      <c r="AG5" s="55">
        <f>IF(ISERROR(AF5/AE5),"",AF5/AE5)</f>
        <v>1.21</v>
      </c>
      <c r="AH5" s="56" t="s">
        <v>86</v>
      </c>
      <c r="AI5" s="57">
        <v>0.23499999999999999</v>
      </c>
      <c r="AJ5" s="55">
        <f>IF(ISERROR(W5*AI5),"",W5*AI5)</f>
        <v>3.36</v>
      </c>
      <c r="AK5" s="55">
        <f>IF(ISERROR(W5+AG5+AJ5),"",W5+AG5+AJ5)</f>
        <v>18.86</v>
      </c>
      <c r="AL5" s="49">
        <v>16.5</v>
      </c>
      <c r="AM5" s="49">
        <v>12</v>
      </c>
      <c r="AN5" s="49">
        <v>7</v>
      </c>
      <c r="AO5" s="53">
        <f>IF(AM5="","",2*(AM5+AN5))</f>
        <v>38</v>
      </c>
      <c r="AP5" s="58">
        <f>IF(AL5="","",AL5*AM5*AN5/12/12/12)</f>
        <v>0.8</v>
      </c>
      <c r="AQ5" s="58">
        <f>IF(AL5="","",AM5*AN5*AL5/139)</f>
        <v>9.9700000000000006</v>
      </c>
      <c r="AR5" s="52">
        <v>11.56</v>
      </c>
      <c r="AS5" s="59">
        <v>0.2</v>
      </c>
      <c r="AT5" s="46">
        <f>MAX(AQ5:AR5)*(1+AS5)</f>
        <v>13.87</v>
      </c>
      <c r="AU5" s="47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59">
        <v>0.06</v>
      </c>
      <c r="AW5" s="55">
        <f t="shared" si="0"/>
        <v>3.49</v>
      </c>
      <c r="AX5" s="59">
        <v>0</v>
      </c>
      <c r="AY5" s="55">
        <f t="shared" si="1"/>
        <v>0</v>
      </c>
      <c r="AZ5" s="66">
        <v>0</v>
      </c>
      <c r="BA5" s="59">
        <v>0.02</v>
      </c>
      <c r="BB5" s="55">
        <f t="shared" si="2"/>
        <v>1.1599999999999999</v>
      </c>
      <c r="BC5" s="55">
        <f t="shared" si="3"/>
        <v>4.6500000000000004</v>
      </c>
      <c r="BD5" s="66" t="s">
        <v>87</v>
      </c>
      <c r="BE5" s="67">
        <v>0.15</v>
      </c>
      <c r="BF5" s="55">
        <f t="shared" si="4"/>
        <v>8.73</v>
      </c>
      <c r="BG5" s="48">
        <v>9.98</v>
      </c>
      <c r="BH5" s="71">
        <v>1.5</v>
      </c>
      <c r="BI5" s="55">
        <v>1.89</v>
      </c>
      <c r="BJ5" s="59">
        <v>0.1</v>
      </c>
      <c r="BK5" s="55">
        <f t="shared" si="5"/>
        <v>5.82</v>
      </c>
      <c r="BL5" s="59">
        <v>0.03</v>
      </c>
      <c r="BM5" s="55">
        <f t="shared" si="6"/>
        <v>1.75</v>
      </c>
      <c r="BN5" s="59">
        <v>7.4999999999999997E-3</v>
      </c>
      <c r="BO5" s="55">
        <f t="shared" si="7"/>
        <v>0.44</v>
      </c>
      <c r="BP5" s="55">
        <f t="shared" si="8"/>
        <v>28.61</v>
      </c>
      <c r="BQ5" s="55">
        <f t="shared" si="9"/>
        <v>33.26</v>
      </c>
      <c r="BR5" s="55">
        <f t="shared" si="10"/>
        <v>18.86</v>
      </c>
      <c r="BS5" s="69">
        <f t="shared" si="11"/>
        <v>0.24349999999999999</v>
      </c>
      <c r="BT5" s="55">
        <f t="shared" si="12"/>
        <v>24.93</v>
      </c>
      <c r="BU5" s="58">
        <f t="shared" si="16"/>
        <v>58.19</v>
      </c>
      <c r="BV5" s="66">
        <v>59.99</v>
      </c>
      <c r="BW5" s="55">
        <f t="shared" si="13"/>
        <v>52.12</v>
      </c>
      <c r="BX5" s="67">
        <f t="shared" si="14"/>
        <v>0.51160000000000005</v>
      </c>
    </row>
    <row r="6" spans="1:76">
      <c r="S6" s="4">
        <f>SUM(S2:S5)</f>
        <v>648</v>
      </c>
    </row>
  </sheetData>
  <sheetProtection insertRows="0" deleteRows="0" sort="0"/>
  <protectedRanges>
    <protectedRange sqref="AG2:AG5 A2:B80 C2:C79 U2:X5 AJ2:AK5 AC2:AE5 K6:R79 T6:AN79 AR6:AS79 AO2:AQ5 F2:J79 BH2:BH3 D2:E80 L2:R5 AV2:BF3 AV6:BR79 AV4:AV5 BJ2:BU3 BW2:BX3" name="Range1"/>
    <protectedRange sqref="Y2:AA5 AL2:AN5 AR2:AS5" name="Range1_2"/>
    <protectedRange sqref="AF2:AF5" name="Range1_3"/>
    <protectedRange sqref="AH2:AI5" name="Range1_4"/>
    <protectedRange sqref="S2:S5" name="Range1_6"/>
    <protectedRange sqref="K2:K5" name="Range1_1"/>
    <protectedRange sqref="AT6:AU79 AO6:AQ79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BD2:BD5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6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2026-06-30T02:03:02Z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