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  <c r="AW11" i="1" s="1"/>
  <c r="AB11" i="1"/>
  <c r="AC11" i="1" s="1"/>
  <c r="AE11" i="1" s="1"/>
  <c r="Q11" i="1"/>
  <c r="S11" i="1" s="1"/>
  <c r="AX10" i="1"/>
  <c r="AW10" i="1" s="1"/>
  <c r="AC10" i="1"/>
  <c r="AE10" i="1" s="1"/>
  <c r="AB10" i="1"/>
  <c r="Q10" i="1"/>
  <c r="S10" i="1" s="1"/>
  <c r="AH10" i="1" s="1"/>
  <c r="AX9" i="1"/>
  <c r="AW9" i="1" s="1"/>
  <c r="AB9" i="1"/>
  <c r="AC9" i="1" s="1"/>
  <c r="AE9" i="1" s="1"/>
  <c r="Q9" i="1"/>
  <c r="S9" i="1" s="1"/>
  <c r="AH9" i="1" s="1"/>
  <c r="AX8" i="1"/>
  <c r="AW8" i="1" s="1"/>
  <c r="AB8" i="1"/>
  <c r="AC8" i="1" s="1"/>
  <c r="AE8" i="1" s="1"/>
  <c r="Q8" i="1"/>
  <c r="S8" i="1" s="1"/>
  <c r="AX7" i="1"/>
  <c r="AW7" i="1" s="1"/>
  <c r="AB7" i="1"/>
  <c r="AC7" i="1" s="1"/>
  <c r="AE7" i="1" s="1"/>
  <c r="Q7" i="1"/>
  <c r="S7" i="1" s="1"/>
  <c r="AX6" i="1"/>
  <c r="AW6" i="1" s="1"/>
  <c r="AB6" i="1"/>
  <c r="AC6" i="1" s="1"/>
  <c r="AE6" i="1" s="1"/>
  <c r="Q6" i="1"/>
  <c r="S6" i="1" s="1"/>
  <c r="AH6" i="1" s="1"/>
  <c r="AX5" i="1"/>
  <c r="AW5" i="1" s="1"/>
  <c r="AB5" i="1"/>
  <c r="AC5" i="1" s="1"/>
  <c r="AE5" i="1" s="1"/>
  <c r="Q5" i="1"/>
  <c r="S5" i="1" s="1"/>
  <c r="AX4" i="1"/>
  <c r="AW4" i="1" s="1"/>
  <c r="AB4" i="1"/>
  <c r="AC4" i="1" s="1"/>
  <c r="AE4" i="1" s="1"/>
  <c r="Q4" i="1"/>
  <c r="S4" i="1" s="1"/>
  <c r="AH4" i="1" s="1"/>
  <c r="AX3" i="1"/>
  <c r="AW3" i="1" s="1"/>
  <c r="AB3" i="1"/>
  <c r="AC3" i="1" s="1"/>
  <c r="AE3" i="1" s="1"/>
  <c r="Q3" i="1"/>
  <c r="S3" i="1" s="1"/>
  <c r="AX2" i="1"/>
  <c r="AW2" i="1" s="1"/>
  <c r="AK2" i="1" s="1"/>
  <c r="AB2" i="1"/>
  <c r="AC2" i="1" s="1"/>
  <c r="AE2" i="1" s="1"/>
  <c r="Q2" i="1"/>
  <c r="S2" i="1" s="1"/>
  <c r="AH2" i="1" s="1"/>
  <c r="AK6" i="1" l="1"/>
  <c r="AS6" i="1"/>
  <c r="AK8" i="1"/>
  <c r="AS8" i="1"/>
  <c r="AH8" i="1"/>
  <c r="AI8" i="1" s="1"/>
  <c r="AI9" i="1"/>
  <c r="AS3" i="1"/>
  <c r="AO3" i="1"/>
  <c r="AM3" i="1"/>
  <c r="AK3" i="1"/>
  <c r="AM5" i="1"/>
  <c r="AK5" i="1"/>
  <c r="AS5" i="1"/>
  <c r="AO5" i="1"/>
  <c r="AS9" i="1"/>
  <c r="AO9" i="1"/>
  <c r="AM9" i="1"/>
  <c r="AK9" i="1"/>
  <c r="AO4" i="1"/>
  <c r="AM4" i="1"/>
  <c r="AK4" i="1"/>
  <c r="AS4" i="1"/>
  <c r="AM7" i="1"/>
  <c r="AK7" i="1"/>
  <c r="AS7" i="1"/>
  <c r="AO7" i="1"/>
  <c r="AH3" i="1"/>
  <c r="AH5" i="1"/>
  <c r="AH7" i="1"/>
  <c r="AO10" i="1"/>
  <c r="AM10" i="1"/>
  <c r="AK10" i="1"/>
  <c r="AS10" i="1"/>
  <c r="AM11" i="1"/>
  <c r="AK11" i="1"/>
  <c r="AS11" i="1"/>
  <c r="AO11" i="1"/>
  <c r="AH11" i="1"/>
  <c r="AI11" i="1"/>
  <c r="AM2" i="1"/>
  <c r="AM6" i="1"/>
  <c r="AM8" i="1"/>
  <c r="AI2" i="1"/>
  <c r="AO2" i="1"/>
  <c r="AI6" i="1"/>
  <c r="AO6" i="1"/>
  <c r="AO8" i="1"/>
  <c r="AS2" i="1"/>
  <c r="AI4" i="1"/>
  <c r="AI10" i="1"/>
  <c r="AT2" i="1" l="1"/>
  <c r="AI3" i="1"/>
  <c r="AT8" i="1"/>
  <c r="AU8" i="1" s="1"/>
  <c r="AV8" i="1" s="1"/>
  <c r="AT6" i="1"/>
  <c r="AU6" i="1" s="1"/>
  <c r="AV6" i="1" s="1"/>
  <c r="AI7" i="1"/>
  <c r="AT7" i="1"/>
  <c r="AT5" i="1"/>
  <c r="AI5" i="1"/>
  <c r="AT10" i="1"/>
  <c r="AU10" i="1" s="1"/>
  <c r="AV10" i="1" s="1"/>
  <c r="AT3" i="1"/>
  <c r="AU2" i="1"/>
  <c r="AV2" i="1" s="1"/>
  <c r="AT11" i="1"/>
  <c r="AU11" i="1" s="1"/>
  <c r="AV11" i="1" s="1"/>
  <c r="AT4" i="1"/>
  <c r="AU4" i="1" s="1"/>
  <c r="AV4" i="1" s="1"/>
  <c r="AT9" i="1"/>
  <c r="AU9" i="1" s="1"/>
  <c r="AV9" i="1" s="1"/>
  <c r="AU3" i="1" l="1"/>
  <c r="AV3" i="1" s="1"/>
  <c r="AU7" i="1"/>
  <c r="AV7" i="1" s="1"/>
  <c r="AU5" i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<sst xmlns="http://schemas.openxmlformats.org/spreadsheetml/2006/main" count="197" uniqueCount="129">
  <si>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</si>
  <si>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</si>
  <si>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</si>
  <si>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</si>
  <si>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</si>
  <si>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</si>
  <si>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</si>
  <si>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</si>
  <si>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</si>
  <si>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</si>
  <si>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</si>
  <si>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</si>
  <si>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</si>
  <si>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</si>
  <si>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</si>
  <si>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</si>
  <si>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</si>
  <si>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</si>
  <si>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</si>
  <si>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</si>
  <si>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</si>
  <si>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</si>
  <si>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</si>
  <si>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</si>
  <si>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</si>
  <si>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</si>
  <si>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</si>
  <si>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</si>
  <si>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</si>
  <si>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</si>
  <si>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</si>
  <si>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</si>
  <si>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</si>
  <si>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</si>
  <si>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</si>
  <si>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</si>
  <si>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</si>
  <si>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</si>
  <si>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</si>
  <si>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</si>
  <si>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</si>
  <si>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</si>
  <si>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</si>
  <si>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</si>
  <si>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</si>
  <si>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</si>
  <si>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</si>
  <si>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</si>
  <si>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</si>
  <si>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</si>
  <si>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</si>
  <si>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</si>
  <si>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</si>
  <si>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</si>
  <si>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06_0023P-A</t>
    <phoneticPr fontId="5" type="noConversion"/>
  </si>
  <si>
    <t>Regency Heights</t>
  </si>
  <si>
    <t>COMFORTER (SET)</t>
  </si>
  <si>
    <t>Ambrosia</t>
    <phoneticPr fontId="5" type="noConversion"/>
  </si>
  <si>
    <t>100% Polyester  Velvet printed 2pcs Comforter Mini Set</t>
    <phoneticPr fontId="5" type="noConversion"/>
  </si>
  <si>
    <t>2pcs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</si>
  <si>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</si>
  <si>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</si>
  <si>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Twin/Twin XL
1 Comforter 66"Wx90"L
2 Sham 20"W x 26"L(2)</t>
    <phoneticPr fontId="5" type="noConversion"/>
  </si>
  <si>
    <t>Yellow</t>
  </si>
  <si>
    <t>RH10-1059</t>
    <phoneticPr fontId="5" type="noConversion"/>
  </si>
  <si>
    <t>Set</t>
  </si>
  <si>
    <t>Compressed/Knocked Down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</si>
  <si>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</si>
  <si>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</si>
  <si>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</si>
  <si>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</si>
  <si>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</si>
  <si>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</si>
  <si>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
1 Comforter 90"Wx90"L
2 Sham 20"W x 26"L(2)</t>
    <phoneticPr fontId="5" type="noConversion"/>
  </si>
  <si>
    <t>RH10-1060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</si>
  <si>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</si>
  <si>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</si>
  <si>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</si>
  <si>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3pcs Comforter Mini Set</t>
    <phoneticPr fontId="5" type="noConversion"/>
  </si>
  <si>
    <t>King/Cal King
1 Comforter 104"Wx90"L
2 Sham 20"W x 36"L(2)</t>
    <phoneticPr fontId="5" type="noConversion"/>
  </si>
  <si>
    <t>RH10-1061</t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</si>
  <si>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</si>
  <si>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</si>
  <si>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</si>
  <si>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</si>
  <si>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Queen
1 Comforter 90"Wx90"L
2 Sham 20"W x 26"L(2)
1 Flat Sheet 90"W x 102"L
1 Fitted Sheet 60"W x 80"L + 15"D
2 Pillowcases 20"W x 30"L(2)
2 Bonus Pillowcases 20"W x 30"L(2)
1 Decorative Pillow 12"W x 16"L</t>
    <phoneticPr fontId="5" type="noConversion"/>
  </si>
  <si>
    <t>RH10-1062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</si>
  <si>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</si>
  <si>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</si>
  <si>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</si>
  <si>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</si>
  <si>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</si>
  <si>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</si>
  <si>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100% polyester , poly filling</t>
    <phoneticPr fontId="5" type="noConversion"/>
  </si>
  <si>
    <t>King
1 Comforter 104"Wx90"L
2 Sham 20"W x 36"L(2)
1 Flat Sheet 108"W x 102"L
1 Fitted Sheet 78"W x 80"L + 15"D
2 Pillowcases 20"W x 40"L(2)
2 Bonus Pillowcases 20"W x 40"L(2)
1 Decorative Pillow 12"W x 16"L</t>
    <phoneticPr fontId="5" type="noConversion"/>
  </si>
  <si>
    <t>RH10-1063</t>
  </si>
  <si>
    <t>9404.40.9022</t>
    <phoneticPr fontId="5" type="noConversion"/>
  </si>
  <si>
    <t>Comforter Mini Set</t>
    <phoneticPr fontId="5" type="noConversion"/>
  </si>
  <si>
    <t>05_0013P2-A</t>
    <phoneticPr fontId="5" type="noConversion"/>
  </si>
  <si>
    <t>Donya</t>
    <phoneticPr fontId="5" type="noConversion"/>
  </si>
  <si>
    <t>100% Polyester  Velvet printed 2pcs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</si>
  <si>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</si>
  <si>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</si>
  <si>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Twin/Twin XL
1 Comforter 66"Wx90"L
2 Sham 20"W x 26"L(2)</t>
    <phoneticPr fontId="5" type="noConversion"/>
  </si>
  <si>
    <t>Black</t>
  </si>
  <si>
    <t>RH10-1064</t>
    <phoneticPr fontId="5" type="noConversion"/>
  </si>
  <si>
    <t>Donya</t>
    <phoneticPr fontId="5" type="noConversion"/>
  </si>
  <si>
    <t>100% Polyester  Velvet printed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</si>
  <si>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</si>
  <si>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</si>
  <si>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
1 Comforter 90"Wx90"L
2 Sham 20"W x 26"L(2)</t>
    <phoneticPr fontId="5" type="noConversion"/>
  </si>
  <si>
    <t>RH10-1065</t>
  </si>
  <si>
    <t>100% Polyester  Velvet printed 3pcs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</si>
  <si>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</si>
  <si>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</si>
  <si>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King/Cal King
1 Comforter 104"Wx90"L
2 Sham 20"W x 36"L(2)</t>
    <phoneticPr fontId="5" type="noConversion"/>
  </si>
  <si>
    <t>RH10-1066</t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</si>
  <si>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</si>
  <si>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</si>
  <si>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</si>
  <si>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</si>
  <si>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Queen
1 Comforter 90"Wx90"L
2 Sham 20"W x 26"L(2)
1 Flat Sheet 90"W x 102"L
1 Fitted Sheet 60"W x 80"L + 15"D
2 Pillowcases 20"W x 30"L(2)
2 Bonus Pillowcases 20"W x 30"L(2)
1 Decorative Pillow 12"W x 16"L</t>
    <phoneticPr fontId="5" type="noConversion"/>
  </si>
  <si>
    <t>RH10-1067</t>
  </si>
  <si>
    <t>9404.40.9022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</si>
  <si>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</si>
  <si>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</si>
  <si>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100% polyester , poly filling</t>
    <phoneticPr fontId="5" type="noConversion"/>
  </si>
  <si>
    <t>King
1 Comforter 104"Wx90"L
2 Sham 20"W x 36"L(2)
1 Flat Sheet 108"W x 102"L
1 Fitted Sheet 78"W x 80"L + 15"D
2 Pillowcases 20"W x 40"L(2)
2 Bonus Pillowcases 20"W x 40"L(2)
1 Decorative Pillow 12"W x 16"L</t>
    <phoneticPr fontId="5" type="noConversion"/>
  </si>
  <si>
    <t>RH10-1068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</si>
</sst>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  <font>
      <b/>
      <sz val="18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3" fillId="6" borderId="2" xfId="1" applyFont="1" applyFill="1" applyBorder="1" applyAlignment="1">
      <alignment horizontal="center" wrapText="1"/>
    </xf>
    <xf numFmtId="176" fontId="3" fillId="3" borderId="2" xfId="1" applyFont="1" applyFill="1" applyBorder="1" applyAlignment="1">
      <alignment horizontal="center" wrapText="1"/>
    </xf>
    <xf numFmtId="2" fontId="3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3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3" fillId="4" borderId="2" xfId="1" applyNumberFormat="1" applyFont="1" applyFill="1" applyBorder="1" applyAlignment="1">
      <alignment horizontal="center" wrapText="1"/>
    </xf>
    <xf numFmtId="10" fontId="3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4" fillId="0" borderId="2" xfId="1" applyFont="1" applyBorder="1"/>
    <xf numFmtId="176" fontId="1" fillId="0" borderId="2" xfId="1" applyBorder="1" applyAlignment="1">
      <alignment wrapText="1"/>
    </xf>
    <xf numFmtId="176" fontId="11" fillId="0" borderId="2" xfId="1" applyFont="1" applyBorder="1" applyAlignment="1">
      <alignment wrapText="1"/>
    </xf>
    <xf numFmtId="176" fontId="1" fillId="0" borderId="2" xfId="1" applyFill="1" applyBorder="1" applyAlignment="1">
      <alignment wrapText="1"/>
    </xf>
    <xf numFmtId="176" fontId="7" fillId="6" borderId="2" xfId="0" applyFont="1" applyFill="1" applyBorder="1"/>
    <xf numFmtId="0" fontId="0" fillId="6" borderId="2" xfId="0" applyNumberFormat="1" applyFill="1" applyBorder="1" applyAlignment="1">
      <alignment wrapText="1"/>
    </xf>
    <xf numFmtId="176" fontId="7" fillId="0" borderId="2" xfId="0" applyFont="1" applyBorder="1"/>
    <xf numFmtId="2" fontId="4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4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4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1" fillId="8" borderId="2" xfId="1" applyNumberFormat="1" applyFont="1" applyFill="1" applyBorder="1" applyAlignment="1">
      <alignment wrapText="1"/>
    </xf>
    <xf numFmtId="10" fontId="11" fillId="8" borderId="2" xfId="4" applyNumberFormat="1" applyFont="1" applyFill="1" applyBorder="1" applyAlignment="1">
      <alignment wrapText="1"/>
    </xf>
    <xf numFmtId="178" fontId="11" fillId="6" borderId="2" xfId="1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  <xf numFmtId="176" fontId="10" fillId="0" borderId="2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107577</xdr:colOff>
      <xdr:row>1</xdr:row>
      <xdr:rowOff>941294</xdr:rowOff>
    </xdr:from>
    <xdr:to>
      <xdr:col>1</xdr:col>
      <xdr:colOff>2761130</xdr:colOff>
      <xdr:row>4</xdr:row>
      <xdr:rowOff>878931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92CB49A4-A751-CA0E-4B5D-63933C3F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02" y="1922369"/>
          <a:ext cx="2653553" cy="3052312"/>
        </a:xfrm>
        <a:prstGeom prst="rect">
          <a:avLst/>
        </a:prstGeom>
      </xdr:spPr>
    </xdr:pic>
    <xdr:clientData/>
  </xdr:twoCellAnchor>
  <xdr:twoCellAnchor editAs="oneCell">
    <xdr:from>
      <xdr:col>1</xdr:col>
      <xdr:colOff>98611</xdr:colOff>
      <xdr:row>6</xdr:row>
      <xdr:rowOff>699246</xdr:rowOff>
    </xdr:from>
    <xdr:to>
      <xdr:col>1</xdr:col>
      <xdr:colOff>2759589</xdr:colOff>
      <xdr:row>9</xdr:row>
      <xdr:rowOff>1165410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A291A7DF-C945-DA79-B12A-27C4458A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936" y="7862046"/>
          <a:ext cx="2660978" cy="3580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Ambrosia%20and%20Donya%20Commitment%205.1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"/>
    </sheetNames>
    <sheetDataSet>
      <sheetData sheetId="0"/>
      <sheetData sheetId="1"/>
      <sheetData sheetId="2"/>
      <sheetData sheetId="3"/>
      <sheetData sheetId="4">
        <row r="5">
          <cell r="J5">
            <v>136.80000000000001</v>
          </cell>
          <cell r="L5">
            <v>137.5</v>
          </cell>
        </row>
        <row r="6">
          <cell r="J6">
            <v>155</v>
          </cell>
          <cell r="L6">
            <v>155.6</v>
          </cell>
        </row>
        <row r="8">
          <cell r="J8">
            <v>62.6</v>
          </cell>
          <cell r="L8">
            <v>62.6</v>
          </cell>
        </row>
        <row r="9">
          <cell r="J9">
            <v>85.3</v>
          </cell>
          <cell r="L9">
            <v>85.3</v>
          </cell>
        </row>
        <row r="10">
          <cell r="J10">
            <v>96.1</v>
          </cell>
          <cell r="L10">
            <v>96.1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1"/>
  <sheetViews>
    <sheetView tabSelected="1" topLeftCell="I1" zoomScale="85" zoomScaleNormal="85" workbookViewId="0">
      <selection activeCell="T12" sqref="T12"/>
    </sheetView>
  </sheetViews>
  <sheetFormatPr defaultColWidth="9.42578125" defaultRowHeight="15" x14ac:dyDescent="0.25"/>
  <cols>
    <col min="1" max="1" width="10.42578125" style="1" customWidth="1"/>
    <col min="2" max="2" width="41.42578125" style="2" customWidth="1"/>
    <col min="3" max="3" width="18.42578125" style="3" customWidth="1"/>
    <col min="4" max="4" width="16.42578125" style="2" customWidth="1"/>
    <col min="5" max="5" width="10.85546875" style="2" customWidth="1"/>
    <col min="6" max="6" width="18" style="2" customWidth="1"/>
    <col min="7" max="7" width="14.5703125" style="4" customWidth="1"/>
    <col min="8" max="8" width="17.85546875" style="2" customWidth="1"/>
    <col min="9" max="9" width="12.85546875" style="2" customWidth="1"/>
    <col min="10" max="10" width="46.28515625" style="2" customWidth="1"/>
    <col min="11" max="11" width="14.140625" style="2" customWidth="1"/>
    <col min="12" max="12" width="48.42578125" style="2" customWidth="1"/>
    <col min="13" max="13" width="13.5703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42578125" style="6" customWidth="1"/>
    <col min="21" max="21" width="11.140625" style="7" customWidth="1"/>
    <col min="22" max="22" width="18.42578125" style="2" customWidth="1"/>
    <col min="23" max="23" width="11" style="8" customWidth="1"/>
    <col min="24" max="24" width="13.140625" style="8" customWidth="1"/>
    <col min="25" max="25" width="11.42578125" style="8" customWidth="1"/>
    <col min="26" max="26" width="12.5703125" style="5" customWidth="1"/>
    <col min="27" max="27" width="9.425781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570312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5703125" style="12" customWidth="1"/>
    <col min="39" max="39" width="12" style="6" customWidth="1"/>
    <col min="40" max="40" width="11.5703125" style="12" customWidth="1"/>
    <col min="41" max="41" width="10.85546875" style="6" customWidth="1"/>
    <col min="42" max="42" width="10.5703125" style="6" customWidth="1"/>
    <col min="43" max="43" width="9.5703125" style="11" customWidth="1"/>
    <col min="44" max="44" width="9.5703125" style="12" customWidth="1"/>
    <col min="45" max="45" width="10" style="6" customWidth="1"/>
    <col min="46" max="46" width="9.5703125" style="6" customWidth="1"/>
    <col min="47" max="47" width="11.5703125" style="6" customWidth="1"/>
    <col min="48" max="48" width="11.140625" style="12" customWidth="1"/>
    <col min="49" max="49" width="11.42578125" style="6" customWidth="1"/>
    <col min="50" max="50" width="11.5703125" style="6" customWidth="1"/>
    <col min="51" max="51" width="12.5703125" style="6" customWidth="1"/>
    <col min="52" max="52" width="12.140625" style="12" customWidth="1"/>
    <col min="53" max="53" width="12.42578125" style="9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4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ht="81.95" customHeight="1" x14ac:dyDescent="0.25">
      <c r="A2" s="38">
        <v>1</v>
      </c>
      <c r="B2" s="62" t="s">
        <v>53</v>
      </c>
      <c r="C2" s="39" t="s">
        <v>54</v>
      </c>
      <c r="D2" s="40" t="s">
        <v>55</v>
      </c>
      <c r="E2" s="40"/>
      <c r="F2" s="40" t="s">
        <v>56</v>
      </c>
      <c r="G2" s="14" t="s">
        <v>57</v>
      </c>
      <c r="H2" s="40" t="s">
        <v>58</v>
      </c>
      <c r="I2" s="40" t="s">
        <v>59</v>
      </c>
      <c r="J2" s="41" t="s">
        <v>60</v>
      </c>
      <c r="K2" s="40" t="s">
        <v>61</v>
      </c>
      <c r="L2" s="42" t="s">
        <v>62</v>
      </c>
      <c r="M2" s="40" t="s">
        <v>63</v>
      </c>
      <c r="N2" s="43" t="s">
        <v>64</v>
      </c>
      <c r="O2" s="44"/>
      <c r="P2" s="40" t="s">
        <v>65</v>
      </c>
      <c r="Q2" s="45">
        <f>'[1]Factory Cost-Ekin'!L8</f>
        <v>62.6</v>
      </c>
      <c r="R2" s="46">
        <v>7.7</v>
      </c>
      <c r="S2" s="47">
        <f t="shared" ref="S2:S4" si="0">Q2/R2</f>
        <v>8.1298701298701292</v>
      </c>
      <c r="T2" s="47">
        <v>8.1300000000000008</v>
      </c>
      <c r="U2" s="48"/>
      <c r="V2" s="40" t="s">
        <v>66</v>
      </c>
      <c r="W2" s="49">
        <v>42</v>
      </c>
      <c r="X2" s="49">
        <v>32</v>
      </c>
      <c r="Y2" s="49">
        <v>36</v>
      </c>
      <c r="Z2" s="50">
        <v>8.6</v>
      </c>
      <c r="AA2" s="51">
        <v>3</v>
      </c>
      <c r="AB2" s="52">
        <f>IF(W2="","",W2*X2*Y2/1000000)</f>
        <v>4.8384000000000003E-2</v>
      </c>
      <c r="AC2" s="53">
        <f>IF(AA2="","",65/AB2*AA2)</f>
        <v>4030.2579365079359</v>
      </c>
      <c r="AD2" s="54">
        <v>4000</v>
      </c>
      <c r="AE2" s="55">
        <f>IF(ISERROR(AD2/AC2),"",AD2/AC2)</f>
        <v>0.99249230769230778</v>
      </c>
      <c r="AF2" s="40" t="s">
        <v>67</v>
      </c>
      <c r="AG2" s="56">
        <v>0.22800000000000001</v>
      </c>
      <c r="AH2" s="55">
        <f>IF(ISERROR(S2*AG2),"",S2*AG2)</f>
        <v>1.8536103896103895</v>
      </c>
      <c r="AI2" s="55">
        <f>IF(ISERROR(T2+AE2+AH2),"",T2+AE2+AH2)</f>
        <v>10.976102697302698</v>
      </c>
      <c r="AJ2" s="57">
        <v>0</v>
      </c>
      <c r="AK2" s="55">
        <f>IF(ISERROR(AW2*AJ2),"",AW2*AJ2)</f>
        <v>0</v>
      </c>
      <c r="AL2" s="57">
        <v>0</v>
      </c>
      <c r="AM2" s="55">
        <f>IF(ISERROR(AW2*AL2),"",AW2*AL2)</f>
        <v>0</v>
      </c>
      <c r="AN2" s="57">
        <v>0</v>
      </c>
      <c r="AO2" s="55">
        <f>IF(ISERROR(AW2*AN2),"",AW2*AN2)</f>
        <v>0</v>
      </c>
      <c r="AP2" s="55">
        <v>0</v>
      </c>
      <c r="AQ2" s="54">
        <v>0</v>
      </c>
      <c r="AR2" s="57">
        <v>0</v>
      </c>
      <c r="AS2" s="55">
        <f>IF(ISERROR(AW2*AR2),"",AW2*AR2)</f>
        <v>0</v>
      </c>
      <c r="AT2" s="55">
        <f>IF(ISERROR(AK2+AM2+AO2+AP2+AS2),"",AK2+AM2+AO2+AP2+AS2)</f>
        <v>0</v>
      </c>
      <c r="AU2" s="58">
        <f>AI2+AT2</f>
        <v>10.976102697302698</v>
      </c>
      <c r="AV2" s="59">
        <f>IF(ISERROR((AW2-AU2)/AW2),"",(AW2-AU2)/AW2)</f>
        <v>0.42361051101936326</v>
      </c>
      <c r="AW2" s="60">
        <f>IF(AX2="","",AX2/1.05)</f>
        <v>19.042857142857144</v>
      </c>
      <c r="AX2" s="55">
        <f t="shared" ref="AX2:AX6" si="1">IF(ISERROR(AY2*(1-AZ2)),"",AY2*(1-AZ2))</f>
        <v>19.995000000000001</v>
      </c>
      <c r="AY2" s="61">
        <v>39.99</v>
      </c>
      <c r="AZ2" s="57">
        <v>0.5</v>
      </c>
      <c r="BA2" s="51">
        <v>45</v>
      </c>
    </row>
    <row r="3" spans="1:53" ht="81.95" customHeight="1" x14ac:dyDescent="0.25">
      <c r="A3" s="38">
        <v>2</v>
      </c>
      <c r="B3" s="63"/>
      <c r="C3" s="39" t="s">
        <v>68</v>
      </c>
      <c r="D3" s="40" t="s">
        <v>55</v>
      </c>
      <c r="E3" s="40"/>
      <c r="F3" s="40" t="s">
        <v>56</v>
      </c>
      <c r="G3" s="14" t="s">
        <v>69</v>
      </c>
      <c r="H3" s="40" t="s">
        <v>70</v>
      </c>
      <c r="I3" s="40" t="s">
        <v>71</v>
      </c>
      <c r="J3" s="41" t="s">
        <v>60</v>
      </c>
      <c r="K3" s="40" t="s">
        <v>72</v>
      </c>
      <c r="L3" s="42" t="s">
        <v>73</v>
      </c>
      <c r="M3" s="40" t="s">
        <v>63</v>
      </c>
      <c r="N3" s="43" t="s">
        <v>74</v>
      </c>
      <c r="O3" s="44"/>
      <c r="P3" s="40" t="s">
        <v>65</v>
      </c>
      <c r="Q3" s="45">
        <f>'[1]Factory Cost-Ekin'!L9</f>
        <v>85.3</v>
      </c>
      <c r="R3" s="46">
        <v>7.7</v>
      </c>
      <c r="S3" s="47">
        <f t="shared" si="0"/>
        <v>11.077922077922077</v>
      </c>
      <c r="T3" s="47">
        <v>11.08</v>
      </c>
      <c r="U3" s="48"/>
      <c r="V3" s="40" t="s">
        <v>66</v>
      </c>
      <c r="W3" s="49">
        <v>42</v>
      </c>
      <c r="X3" s="49">
        <v>32</v>
      </c>
      <c r="Y3" s="49">
        <v>42</v>
      </c>
      <c r="Z3" s="50">
        <v>10.6</v>
      </c>
      <c r="AA3" s="51">
        <v>3</v>
      </c>
      <c r="AB3" s="52">
        <f>IF(W3="","",W3*X3*Y3/1000000)</f>
        <v>5.6447999999999998E-2</v>
      </c>
      <c r="AC3" s="53">
        <f>IF(AA3="","",65/AB3*AA3)</f>
        <v>3454.5068027210882</v>
      </c>
      <c r="AD3" s="54">
        <v>4000</v>
      </c>
      <c r="AE3" s="55">
        <f>IF(ISERROR(AD3/AC3),"",AD3/AC3)</f>
        <v>1.1579076923076923</v>
      </c>
      <c r="AF3" s="40" t="s">
        <v>75</v>
      </c>
      <c r="AG3" s="56">
        <v>0.22800000000000001</v>
      </c>
      <c r="AH3" s="55">
        <f>IF(ISERROR(S3*AG3),"",S3*AG3)</f>
        <v>2.5257662337662334</v>
      </c>
      <c r="AI3" s="55">
        <f>IF(ISERROR(T3+AE3+AH3),"",T3+AE3+AH3)</f>
        <v>14.763673926073926</v>
      </c>
      <c r="AJ3" s="57">
        <v>0</v>
      </c>
      <c r="AK3" s="55">
        <f>IF(ISERROR(AW3*AJ3),"",AW3*AJ3)</f>
        <v>0</v>
      </c>
      <c r="AL3" s="57">
        <v>0</v>
      </c>
      <c r="AM3" s="55">
        <f>IF(ISERROR(AW3*AL3),"",AW3*AL3)</f>
        <v>0</v>
      </c>
      <c r="AN3" s="57">
        <v>0</v>
      </c>
      <c r="AO3" s="55">
        <f>IF(ISERROR(AW3*AN3),"",AW3*AN3)</f>
        <v>0</v>
      </c>
      <c r="AP3" s="55">
        <v>0</v>
      </c>
      <c r="AQ3" s="54">
        <v>0</v>
      </c>
      <c r="AR3" s="57">
        <v>0</v>
      </c>
      <c r="AS3" s="55">
        <f>IF(ISERROR(AW3*AR3),"",AW3*AR3)</f>
        <v>0</v>
      </c>
      <c r="AT3" s="55">
        <f>IF(ISERROR(AK3+AM3+AO3+AP3+AS3),"",AK3+AM3+AO3+AP3+AS3)</f>
        <v>0</v>
      </c>
      <c r="AU3" s="58">
        <f>IF(ISERROR(AI3+AT3),"",AI3+AT3)</f>
        <v>14.763673926073926</v>
      </c>
      <c r="AV3" s="59">
        <f>IF(ISERROR((AW3-AU3)/AW3),"",(AW3-AU3)/AW3)</f>
        <v>0.37980165543598227</v>
      </c>
      <c r="AW3" s="60">
        <f t="shared" ref="AW3:AW6" si="2">IF(AX3="","",AX3/1.05)</f>
        <v>23.804761904761904</v>
      </c>
      <c r="AX3" s="55">
        <f t="shared" si="1"/>
        <v>24.995000000000001</v>
      </c>
      <c r="AY3" s="61">
        <v>49.99</v>
      </c>
      <c r="AZ3" s="57">
        <v>0.5</v>
      </c>
      <c r="BA3" s="51">
        <v>165</v>
      </c>
    </row>
    <row r="4" spans="1:53" ht="81.95" customHeight="1" x14ac:dyDescent="0.25">
      <c r="A4" s="38">
        <v>3</v>
      </c>
      <c r="B4" s="64"/>
      <c r="C4" s="39" t="s">
        <v>76</v>
      </c>
      <c r="D4" s="40" t="s">
        <v>55</v>
      </c>
      <c r="E4" s="40"/>
      <c r="F4" s="40" t="s">
        <v>56</v>
      </c>
      <c r="G4" s="14" t="s">
        <v>77</v>
      </c>
      <c r="H4" s="40" t="s">
        <v>78</v>
      </c>
      <c r="I4" s="40" t="s">
        <v>71</v>
      </c>
      <c r="J4" s="41" t="s">
        <v>60</v>
      </c>
      <c r="K4" s="40" t="s">
        <v>61</v>
      </c>
      <c r="L4" s="42" t="s">
        <v>79</v>
      </c>
      <c r="M4" s="40" t="s">
        <v>63</v>
      </c>
      <c r="N4" s="43" t="s">
        <v>80</v>
      </c>
      <c r="O4" s="44"/>
      <c r="P4" s="40" t="s">
        <v>65</v>
      </c>
      <c r="Q4" s="45">
        <f>'[1]Factory Cost-Ekin'!L10</f>
        <v>96.1</v>
      </c>
      <c r="R4" s="46">
        <v>7.7</v>
      </c>
      <c r="S4" s="47">
        <f t="shared" si="0"/>
        <v>12.480519480519479</v>
      </c>
      <c r="T4" s="47">
        <v>12.48</v>
      </c>
      <c r="U4" s="48"/>
      <c r="V4" s="40" t="s">
        <v>66</v>
      </c>
      <c r="W4" s="49">
        <v>42</v>
      </c>
      <c r="X4" s="49">
        <v>32</v>
      </c>
      <c r="Y4" s="49">
        <v>48</v>
      </c>
      <c r="Z4" s="50">
        <v>11.8</v>
      </c>
      <c r="AA4" s="51">
        <v>3</v>
      </c>
      <c r="AB4" s="52">
        <f>IF(W4="","",W4*X4*Y4/1000000)</f>
        <v>6.4512E-2</v>
      </c>
      <c r="AC4" s="53">
        <f>IF(AA4="","",65/AB4*AA4)</f>
        <v>3022.6934523809523</v>
      </c>
      <c r="AD4" s="54">
        <v>4000</v>
      </c>
      <c r="AE4" s="55">
        <f>IF(ISERROR(AD4/AC4),"",AD4/AC4)</f>
        <v>1.323323076923077</v>
      </c>
      <c r="AF4" s="40" t="s">
        <v>67</v>
      </c>
      <c r="AG4" s="56">
        <v>0.22800000000000001</v>
      </c>
      <c r="AH4" s="55">
        <f>IF(ISERROR(S4*AG4),"",S4*AG4)</f>
        <v>2.8455584415584414</v>
      </c>
      <c r="AI4" s="55">
        <f>IF(ISERROR(T4+AE4+AH4),"",T4+AE4+AH4)</f>
        <v>16.64888151848152</v>
      </c>
      <c r="AJ4" s="57">
        <v>0</v>
      </c>
      <c r="AK4" s="55">
        <f>IF(ISERROR(AW4*AJ4),"",AW4*AJ4)</f>
        <v>0</v>
      </c>
      <c r="AL4" s="57">
        <v>0</v>
      </c>
      <c r="AM4" s="55">
        <f>IF(ISERROR(AW4*AL4),"",AW4*AL4)</f>
        <v>0</v>
      </c>
      <c r="AN4" s="57">
        <v>0</v>
      </c>
      <c r="AO4" s="55">
        <f>IF(ISERROR(AW4*AN4),"",AW4*AN4)</f>
        <v>0</v>
      </c>
      <c r="AP4" s="55">
        <v>0</v>
      </c>
      <c r="AQ4" s="54">
        <v>0</v>
      </c>
      <c r="AR4" s="57">
        <v>0</v>
      </c>
      <c r="AS4" s="55">
        <f>IF(ISERROR(AW4*AR4),"",AW4*AR4)</f>
        <v>0</v>
      </c>
      <c r="AT4" s="55">
        <f>IF(ISERROR(AK4+AM4+AO4+AP4+AS4),"",AK4+AM4+AO4+AP4+AS4)</f>
        <v>0</v>
      </c>
      <c r="AU4" s="58">
        <f>IF(ISERROR(AI4+AT4),"",AI4+AT4)</f>
        <v>16.64888151848152</v>
      </c>
      <c r="AV4" s="59">
        <f>IF(ISERROR((AW4-AU4)/AW4),"",(AW4-AU4)/AW4)</f>
        <v>0.41719201218851154</v>
      </c>
      <c r="AW4" s="60">
        <f t="shared" si="2"/>
        <v>28.566666666666666</v>
      </c>
      <c r="AX4" s="55">
        <f t="shared" si="1"/>
        <v>29.995000000000001</v>
      </c>
      <c r="AY4" s="61">
        <v>59.99</v>
      </c>
      <c r="AZ4" s="57">
        <v>0.5</v>
      </c>
      <c r="BA4" s="51">
        <v>90</v>
      </c>
    </row>
    <row r="5" spans="1:53" ht="111.6" customHeight="1" x14ac:dyDescent="0.25">
      <c r="A5" s="38">
        <v>4</v>
      </c>
      <c r="B5" s="62" t="s">
        <v>81</v>
      </c>
      <c r="C5" s="39" t="s">
        <v>76</v>
      </c>
      <c r="D5" s="40" t="s">
        <v>55</v>
      </c>
      <c r="E5" s="40"/>
      <c r="F5" s="40" t="s">
        <v>56</v>
      </c>
      <c r="G5" s="14" t="s">
        <v>77</v>
      </c>
      <c r="H5" s="40" t="s">
        <v>82</v>
      </c>
      <c r="I5" s="40" t="s">
        <v>83</v>
      </c>
      <c r="J5" s="41" t="s">
        <v>84</v>
      </c>
      <c r="K5" s="40" t="s">
        <v>61</v>
      </c>
      <c r="L5" s="42" t="s">
        <v>85</v>
      </c>
      <c r="M5" s="40" t="s">
        <v>63</v>
      </c>
      <c r="N5" s="43" t="s">
        <v>86</v>
      </c>
      <c r="O5" s="44"/>
      <c r="P5" s="40" t="s">
        <v>65</v>
      </c>
      <c r="Q5" s="45">
        <f>'[1]Factory Cost-Ekin'!L5</f>
        <v>137.5</v>
      </c>
      <c r="R5" s="46">
        <v>7.7</v>
      </c>
      <c r="S5" s="47">
        <f>Q5/R5</f>
        <v>17.857142857142858</v>
      </c>
      <c r="T5" s="47">
        <v>17.86</v>
      </c>
      <c r="U5" s="48"/>
      <c r="V5" s="40" t="s">
        <v>66</v>
      </c>
      <c r="W5" s="49">
        <v>42</v>
      </c>
      <c r="X5" s="49">
        <v>32</v>
      </c>
      <c r="Y5" s="49">
        <v>48</v>
      </c>
      <c r="Z5" s="50">
        <v>17.899999999999999</v>
      </c>
      <c r="AA5" s="51">
        <v>3</v>
      </c>
      <c r="AB5" s="52">
        <f t="shared" ref="AB5:AB6" si="3">IF(W5="","",W5*X5*Y5/1000000)</f>
        <v>6.4512E-2</v>
      </c>
      <c r="AC5" s="53">
        <f t="shared" ref="AC5:AC6" si="4">IF(AA5="","",65/AB5*AA5)</f>
        <v>3022.6934523809523</v>
      </c>
      <c r="AD5" s="54">
        <v>4000</v>
      </c>
      <c r="AE5" s="55">
        <f t="shared" ref="AE5:AE6" si="5">IF(ISERROR(AD5/AC5),"",AD5/AC5)</f>
        <v>1.323323076923077</v>
      </c>
      <c r="AF5" s="40" t="s">
        <v>87</v>
      </c>
      <c r="AG5" s="56">
        <v>0.22800000000000001</v>
      </c>
      <c r="AH5" s="55">
        <f t="shared" ref="AH5:AH6" si="6">IF(ISERROR(S5*AG5),"",S5*AG5)</f>
        <v>4.0714285714285721</v>
      </c>
      <c r="AI5" s="55">
        <f t="shared" ref="AI5:AI6" si="7">IF(ISERROR(T5+AE5+AH5),"",T5+AE5+AH5)</f>
        <v>23.25475164835165</v>
      </c>
      <c r="AJ5" s="57">
        <v>0</v>
      </c>
      <c r="AK5" s="55">
        <f t="shared" ref="AK5:AK6" si="8">IF(ISERROR(AW5*AJ5),"",AW5*AJ5)</f>
        <v>0</v>
      </c>
      <c r="AL5" s="57">
        <v>0</v>
      </c>
      <c r="AM5" s="55">
        <f t="shared" ref="AM5:AM6" si="9">IF(ISERROR(AW5*AL5),"",AW5*AL5)</f>
        <v>0</v>
      </c>
      <c r="AN5" s="57">
        <v>0</v>
      </c>
      <c r="AO5" s="55">
        <f t="shared" ref="AO5:AO6" si="10">IF(ISERROR(AW5*AN5),"",AW5*AN5)</f>
        <v>0</v>
      </c>
      <c r="AP5" s="55">
        <v>0</v>
      </c>
      <c r="AQ5" s="54">
        <v>0</v>
      </c>
      <c r="AR5" s="57">
        <v>0</v>
      </c>
      <c r="AS5" s="55">
        <f t="shared" ref="AS5:AS6" si="11">IF(ISERROR(AW5*AR5),"",AW5*AR5)</f>
        <v>0</v>
      </c>
      <c r="AT5" s="55">
        <f t="shared" ref="AT5:AT6" si="12">IF(ISERROR(AK5+AM5+AO5+AP5+AS5),"",AK5+AM5+AO5+AP5+AS5)</f>
        <v>0</v>
      </c>
      <c r="AU5" s="58">
        <f t="shared" ref="AU5:AU6" si="13">IF(ISERROR(AI5+AT5),"",AI5+AT5)</f>
        <v>23.25475164835165</v>
      </c>
      <c r="AV5" s="59">
        <f t="shared" ref="AV5:AV6" si="14">IF(ISERROR((AW5-AU5)/AW5),"",(AW5-AU5)/AW5)</f>
        <v>0.30225777308846297</v>
      </c>
      <c r="AW5" s="60">
        <f t="shared" si="2"/>
        <v>33.328571428571422</v>
      </c>
      <c r="AX5" s="55">
        <f t="shared" si="1"/>
        <v>34.994999999999997</v>
      </c>
      <c r="AY5" s="61">
        <v>69.989999999999995</v>
      </c>
      <c r="AZ5" s="57">
        <v>0.5</v>
      </c>
      <c r="BA5" s="51">
        <v>387</v>
      </c>
    </row>
    <row r="6" spans="1:53" ht="109.9" customHeight="1" x14ac:dyDescent="0.25">
      <c r="A6" s="38">
        <v>5</v>
      </c>
      <c r="B6" s="63"/>
      <c r="C6" s="39" t="s">
        <v>88</v>
      </c>
      <c r="D6" s="40" t="s">
        <v>55</v>
      </c>
      <c r="E6" s="40"/>
      <c r="F6" s="40" t="s">
        <v>56</v>
      </c>
      <c r="G6" s="14" t="s">
        <v>89</v>
      </c>
      <c r="H6" s="40" t="s">
        <v>90</v>
      </c>
      <c r="I6" s="40" t="s">
        <v>91</v>
      </c>
      <c r="J6" s="41" t="s">
        <v>92</v>
      </c>
      <c r="K6" s="40" t="s">
        <v>93</v>
      </c>
      <c r="L6" s="42" t="s">
        <v>94</v>
      </c>
      <c r="M6" s="40" t="s">
        <v>63</v>
      </c>
      <c r="N6" s="43" t="s">
        <v>95</v>
      </c>
      <c r="O6" s="44"/>
      <c r="P6" s="40" t="s">
        <v>65</v>
      </c>
      <c r="Q6" s="45">
        <f>'[1]Factory Cost-Ekin'!L6</f>
        <v>155.6</v>
      </c>
      <c r="R6" s="46">
        <v>7.7</v>
      </c>
      <c r="S6" s="47">
        <f t="shared" ref="S6" si="15">Q6/R6</f>
        <v>20.207792207792206</v>
      </c>
      <c r="T6" s="47">
        <v>20.21</v>
      </c>
      <c r="U6" s="48"/>
      <c r="V6" s="40" t="s">
        <v>66</v>
      </c>
      <c r="W6" s="49">
        <v>42</v>
      </c>
      <c r="X6" s="49">
        <v>32</v>
      </c>
      <c r="Y6" s="49">
        <v>54</v>
      </c>
      <c r="Z6" s="50">
        <v>20.399999999999999</v>
      </c>
      <c r="AA6" s="51">
        <v>3</v>
      </c>
      <c r="AB6" s="52">
        <f t="shared" si="3"/>
        <v>7.2576000000000002E-2</v>
      </c>
      <c r="AC6" s="53">
        <f t="shared" si="4"/>
        <v>2686.8386243386244</v>
      </c>
      <c r="AD6" s="54">
        <v>4000</v>
      </c>
      <c r="AE6" s="55">
        <f t="shared" si="5"/>
        <v>1.4887384615384616</v>
      </c>
      <c r="AF6" s="40" t="s">
        <v>96</v>
      </c>
      <c r="AG6" s="56">
        <v>0.22800000000000001</v>
      </c>
      <c r="AH6" s="55">
        <f t="shared" si="6"/>
        <v>4.6073766233766236</v>
      </c>
      <c r="AI6" s="55">
        <f t="shared" si="7"/>
        <v>26.306115084915085</v>
      </c>
      <c r="AJ6" s="57">
        <v>0</v>
      </c>
      <c r="AK6" s="55">
        <f t="shared" si="8"/>
        <v>0</v>
      </c>
      <c r="AL6" s="57">
        <v>0</v>
      </c>
      <c r="AM6" s="55">
        <f t="shared" si="9"/>
        <v>0</v>
      </c>
      <c r="AN6" s="57">
        <v>0</v>
      </c>
      <c r="AO6" s="55">
        <f t="shared" si="10"/>
        <v>0</v>
      </c>
      <c r="AP6" s="55">
        <v>0</v>
      </c>
      <c r="AQ6" s="54">
        <v>0</v>
      </c>
      <c r="AR6" s="57">
        <v>0</v>
      </c>
      <c r="AS6" s="55">
        <f t="shared" si="11"/>
        <v>0</v>
      </c>
      <c r="AT6" s="55">
        <f t="shared" si="12"/>
        <v>0</v>
      </c>
      <c r="AU6" s="58">
        <f t="shared" si="13"/>
        <v>26.306115084915085</v>
      </c>
      <c r="AV6" s="59">
        <f t="shared" si="14"/>
        <v>0.30937815128989021</v>
      </c>
      <c r="AW6" s="60">
        <f t="shared" si="2"/>
        <v>38.090476190476188</v>
      </c>
      <c r="AX6" s="55">
        <f t="shared" si="1"/>
        <v>39.994999999999997</v>
      </c>
      <c r="AY6" s="61">
        <v>79.989999999999995</v>
      </c>
      <c r="AZ6" s="57">
        <v>0.5</v>
      </c>
      <c r="BA6" s="51">
        <v>315</v>
      </c>
    </row>
    <row r="7" spans="1:53" ht="81.95" customHeight="1" x14ac:dyDescent="0.25">
      <c r="A7" s="38">
        <v>1</v>
      </c>
      <c r="B7" s="62" t="s">
        <v>97</v>
      </c>
      <c r="C7" s="39" t="s">
        <v>98</v>
      </c>
      <c r="D7" s="40" t="s">
        <v>55</v>
      </c>
      <c r="E7" s="40"/>
      <c r="F7" s="40" t="s">
        <v>56</v>
      </c>
      <c r="G7" s="14" t="s">
        <v>99</v>
      </c>
      <c r="H7" s="40" t="s">
        <v>100</v>
      </c>
      <c r="I7" s="40" t="s">
        <v>59</v>
      </c>
      <c r="J7" s="41" t="s">
        <v>101</v>
      </c>
      <c r="K7" s="40" t="s">
        <v>102</v>
      </c>
      <c r="L7" s="42" t="s">
        <v>103</v>
      </c>
      <c r="M7" s="40" t="s">
        <v>104</v>
      </c>
      <c r="N7" s="43" t="s">
        <v>105</v>
      </c>
      <c r="O7" s="44"/>
      <c r="P7" s="40" t="s">
        <v>65</v>
      </c>
      <c r="Q7" s="45">
        <f>'[1]Factory Cost-Ekin'!J8</f>
        <v>62.6</v>
      </c>
      <c r="R7" s="46">
        <v>7.7</v>
      </c>
      <c r="S7" s="47">
        <f t="shared" ref="S7:S9" si="16">Q7/R7</f>
        <v>8.1298701298701292</v>
      </c>
      <c r="T7" s="47">
        <v>8.1300000000000008</v>
      </c>
      <c r="U7" s="48"/>
      <c r="V7" s="40" t="s">
        <v>66</v>
      </c>
      <c r="W7" s="49">
        <v>42</v>
      </c>
      <c r="X7" s="49">
        <v>32</v>
      </c>
      <c r="Y7" s="49">
        <v>36</v>
      </c>
      <c r="Z7" s="50">
        <v>8.6</v>
      </c>
      <c r="AA7" s="51">
        <v>3</v>
      </c>
      <c r="AB7" s="52">
        <f>IF(W7="","",W7*X7*Y7/1000000)</f>
        <v>4.8384000000000003E-2</v>
      </c>
      <c r="AC7" s="53">
        <f>IF(AA7="","",65/AB7*AA7)</f>
        <v>4030.2579365079359</v>
      </c>
      <c r="AD7" s="54">
        <v>4000</v>
      </c>
      <c r="AE7" s="55">
        <f>IF(ISERROR(AD7/AC7),"",AD7/AC7)</f>
        <v>0.99249230769230778</v>
      </c>
      <c r="AF7" s="40" t="s">
        <v>96</v>
      </c>
      <c r="AG7" s="56">
        <v>0.22800000000000001</v>
      </c>
      <c r="AH7" s="55">
        <f>IF(ISERROR(S7*AG7),"",S7*AG7)</f>
        <v>1.8536103896103895</v>
      </c>
      <c r="AI7" s="55">
        <f>IF(ISERROR(T7+AE7+AH7),"",T7+AE7+AH7)</f>
        <v>10.976102697302698</v>
      </c>
      <c r="AJ7" s="57">
        <v>0</v>
      </c>
      <c r="AK7" s="55">
        <f>IF(ISERROR(AW7*AJ7),"",AW7*AJ7)</f>
        <v>0</v>
      </c>
      <c r="AL7" s="57">
        <v>0</v>
      </c>
      <c r="AM7" s="55">
        <f>IF(ISERROR(AW7*AL7),"",AW7*AL7)</f>
        <v>0</v>
      </c>
      <c r="AN7" s="57">
        <v>0</v>
      </c>
      <c r="AO7" s="55">
        <f>IF(ISERROR(AW7*AN7),"",AW7*AN7)</f>
        <v>0</v>
      </c>
      <c r="AP7" s="55">
        <v>0</v>
      </c>
      <c r="AQ7" s="54">
        <v>0</v>
      </c>
      <c r="AR7" s="57">
        <v>0</v>
      </c>
      <c r="AS7" s="55">
        <f>IF(ISERROR(AW7*AR7),"",AW7*AR7)</f>
        <v>0</v>
      </c>
      <c r="AT7" s="55">
        <f>IF(ISERROR(AK7+AM7+AO7+AP7+AS7),"",AK7+AM7+AO7+AP7+AS7)</f>
        <v>0</v>
      </c>
      <c r="AU7" s="58">
        <f>AI7+AT7</f>
        <v>10.976102697302698</v>
      </c>
      <c r="AV7" s="59">
        <f>IF(ISERROR((AW7-AU7)/AW7),"",(AW7-AU7)/AW7)</f>
        <v>0.42361051101936326</v>
      </c>
      <c r="AW7" s="60">
        <f>IF(AX7="","",AX7/1.05)</f>
        <v>19.042857142857144</v>
      </c>
      <c r="AX7" s="55">
        <f t="shared" ref="AX7:AX11" si="17">IF(ISERROR(AY7*(1-AZ7)),"",AY7*(1-AZ7))</f>
        <v>19.995000000000001</v>
      </c>
      <c r="AY7" s="61">
        <v>39.99</v>
      </c>
      <c r="AZ7" s="57">
        <v>0.5</v>
      </c>
      <c r="BA7" s="51">
        <v>45</v>
      </c>
    </row>
    <row r="8" spans="1:53" ht="81.95" customHeight="1" x14ac:dyDescent="0.25">
      <c r="A8" s="38">
        <v>2</v>
      </c>
      <c r="B8" s="63"/>
      <c r="C8" s="39" t="s">
        <v>98</v>
      </c>
      <c r="D8" s="40" t="s">
        <v>55</v>
      </c>
      <c r="E8" s="40"/>
      <c r="F8" s="40" t="s">
        <v>56</v>
      </c>
      <c r="G8" s="14" t="s">
        <v>106</v>
      </c>
      <c r="H8" s="40" t="s">
        <v>107</v>
      </c>
      <c r="I8" s="40" t="s">
        <v>108</v>
      </c>
      <c r="J8" s="41" t="s">
        <v>101</v>
      </c>
      <c r="K8" s="40" t="s">
        <v>109</v>
      </c>
      <c r="L8" s="42" t="s">
        <v>110</v>
      </c>
      <c r="M8" s="40" t="s">
        <v>104</v>
      </c>
      <c r="N8" s="43" t="s">
        <v>111</v>
      </c>
      <c r="O8" s="44"/>
      <c r="P8" s="40" t="s">
        <v>65</v>
      </c>
      <c r="Q8" s="45">
        <f>'[1]Factory Cost-Ekin'!J9</f>
        <v>85.3</v>
      </c>
      <c r="R8" s="46">
        <v>7.7</v>
      </c>
      <c r="S8" s="47">
        <f t="shared" si="16"/>
        <v>11.077922077922077</v>
      </c>
      <c r="T8" s="47">
        <v>11.08</v>
      </c>
      <c r="U8" s="48"/>
      <c r="V8" s="40" t="s">
        <v>66</v>
      </c>
      <c r="W8" s="49">
        <v>42</v>
      </c>
      <c r="X8" s="49">
        <v>32</v>
      </c>
      <c r="Y8" s="49">
        <v>42</v>
      </c>
      <c r="Z8" s="50">
        <v>10.6</v>
      </c>
      <c r="AA8" s="51">
        <v>3</v>
      </c>
      <c r="AB8" s="52">
        <f>IF(W8="","",W8*X8*Y8/1000000)</f>
        <v>5.6447999999999998E-2</v>
      </c>
      <c r="AC8" s="53">
        <f>IF(AA8="","",65/AB8*AA8)</f>
        <v>3454.5068027210882</v>
      </c>
      <c r="AD8" s="54">
        <v>4000</v>
      </c>
      <c r="AE8" s="55">
        <f>IF(ISERROR(AD8/AC8),"",AD8/AC8)</f>
        <v>1.1579076923076923</v>
      </c>
      <c r="AF8" s="40" t="s">
        <v>96</v>
      </c>
      <c r="AG8" s="56">
        <v>0.22800000000000001</v>
      </c>
      <c r="AH8" s="55">
        <f>IF(ISERROR(S8*AG8),"",S8*AG8)</f>
        <v>2.5257662337662334</v>
      </c>
      <c r="AI8" s="55">
        <f>IF(ISERROR(T8+AE8+AH8),"",T8+AE8+AH8)</f>
        <v>14.763673926073926</v>
      </c>
      <c r="AJ8" s="57">
        <v>0</v>
      </c>
      <c r="AK8" s="55">
        <f>IF(ISERROR(AW8*AJ8),"",AW8*AJ8)</f>
        <v>0</v>
      </c>
      <c r="AL8" s="57">
        <v>0</v>
      </c>
      <c r="AM8" s="55">
        <f>IF(ISERROR(AW8*AL8),"",AW8*AL8)</f>
        <v>0</v>
      </c>
      <c r="AN8" s="57">
        <v>0</v>
      </c>
      <c r="AO8" s="55">
        <f>IF(ISERROR(AW8*AN8),"",AW8*AN8)</f>
        <v>0</v>
      </c>
      <c r="AP8" s="55">
        <v>0</v>
      </c>
      <c r="AQ8" s="54">
        <v>0</v>
      </c>
      <c r="AR8" s="57">
        <v>0</v>
      </c>
      <c r="AS8" s="55">
        <f>IF(ISERROR(AW8*AR8),"",AW8*AR8)</f>
        <v>0</v>
      </c>
      <c r="AT8" s="55">
        <f>IF(ISERROR(AK8+AM8+AO8+AP8+AS8),"",AK8+AM8+AO8+AP8+AS8)</f>
        <v>0</v>
      </c>
      <c r="AU8" s="58">
        <f>IF(ISERROR(AI8+AT8),"",AI8+AT8)</f>
        <v>14.763673926073926</v>
      </c>
      <c r="AV8" s="59">
        <f>IF(ISERROR((AW8-AU8)/AW8),"",(AW8-AU8)/AW8)</f>
        <v>0.37980165543598227</v>
      </c>
      <c r="AW8" s="60">
        <f t="shared" ref="AW8:AW11" si="18">IF(AX8="","",AX8/1.05)</f>
        <v>23.804761904761904</v>
      </c>
      <c r="AX8" s="55">
        <f t="shared" si="17"/>
        <v>24.995000000000001</v>
      </c>
      <c r="AY8" s="61">
        <v>49.99</v>
      </c>
      <c r="AZ8" s="57">
        <v>0.5</v>
      </c>
      <c r="BA8" s="51">
        <v>165</v>
      </c>
    </row>
    <row r="9" spans="1:53" ht="81.95" customHeight="1" x14ac:dyDescent="0.25">
      <c r="A9" s="38">
        <v>3</v>
      </c>
      <c r="B9" s="64"/>
      <c r="C9" s="39" t="s">
        <v>98</v>
      </c>
      <c r="D9" s="40" t="s">
        <v>55</v>
      </c>
      <c r="E9" s="40"/>
      <c r="F9" s="40" t="s">
        <v>56</v>
      </c>
      <c r="G9" s="14" t="s">
        <v>106</v>
      </c>
      <c r="H9" s="40" t="s">
        <v>112</v>
      </c>
      <c r="I9" s="40" t="s">
        <v>108</v>
      </c>
      <c r="J9" s="41" t="s">
        <v>113</v>
      </c>
      <c r="K9" s="40" t="s">
        <v>114</v>
      </c>
      <c r="L9" s="42" t="s">
        <v>115</v>
      </c>
      <c r="M9" s="40" t="s">
        <v>104</v>
      </c>
      <c r="N9" s="43" t="s">
        <v>116</v>
      </c>
      <c r="O9" s="44"/>
      <c r="P9" s="40" t="s">
        <v>65</v>
      </c>
      <c r="Q9" s="45">
        <f>'[1]Factory Cost-Ekin'!J10</f>
        <v>96.1</v>
      </c>
      <c r="R9" s="46">
        <v>7.7</v>
      </c>
      <c r="S9" s="47">
        <f t="shared" si="16"/>
        <v>12.480519480519479</v>
      </c>
      <c r="T9" s="47">
        <v>12.48</v>
      </c>
      <c r="U9" s="48"/>
      <c r="V9" s="40" t="s">
        <v>66</v>
      </c>
      <c r="W9" s="49">
        <v>42</v>
      </c>
      <c r="X9" s="49">
        <v>32</v>
      </c>
      <c r="Y9" s="49">
        <v>48</v>
      </c>
      <c r="Z9" s="50">
        <v>11.8</v>
      </c>
      <c r="AA9" s="51">
        <v>3</v>
      </c>
      <c r="AB9" s="52">
        <f>IF(W9="","",W9*X9*Y9/1000000)</f>
        <v>6.4512E-2</v>
      </c>
      <c r="AC9" s="53">
        <f>IF(AA9="","",65/AB9*AA9)</f>
        <v>3022.6934523809523</v>
      </c>
      <c r="AD9" s="54">
        <v>4000</v>
      </c>
      <c r="AE9" s="55">
        <f>IF(ISERROR(AD9/AC9),"",AD9/AC9)</f>
        <v>1.323323076923077</v>
      </c>
      <c r="AF9" s="40" t="s">
        <v>96</v>
      </c>
      <c r="AG9" s="56">
        <v>0.22800000000000001</v>
      </c>
      <c r="AH9" s="55">
        <f>IF(ISERROR(S9*AG9),"",S9*AG9)</f>
        <v>2.8455584415584414</v>
      </c>
      <c r="AI9" s="55">
        <f>IF(ISERROR(T9+AE9+AH9),"",T9+AE9+AH9)</f>
        <v>16.64888151848152</v>
      </c>
      <c r="AJ9" s="57">
        <v>0</v>
      </c>
      <c r="AK9" s="55">
        <f>IF(ISERROR(AW9*AJ9),"",AW9*AJ9)</f>
        <v>0</v>
      </c>
      <c r="AL9" s="57">
        <v>0</v>
      </c>
      <c r="AM9" s="55">
        <f>IF(ISERROR(AW9*AL9),"",AW9*AL9)</f>
        <v>0</v>
      </c>
      <c r="AN9" s="57">
        <v>0</v>
      </c>
      <c r="AO9" s="55">
        <f>IF(ISERROR(AW9*AN9),"",AW9*AN9)</f>
        <v>0</v>
      </c>
      <c r="AP9" s="55">
        <v>0</v>
      </c>
      <c r="AQ9" s="54">
        <v>0</v>
      </c>
      <c r="AR9" s="57">
        <v>0</v>
      </c>
      <c r="AS9" s="55">
        <f>IF(ISERROR(AW9*AR9),"",AW9*AR9)</f>
        <v>0</v>
      </c>
      <c r="AT9" s="55">
        <f>IF(ISERROR(AK9+AM9+AO9+AP9+AS9),"",AK9+AM9+AO9+AP9+AS9)</f>
        <v>0</v>
      </c>
      <c r="AU9" s="58">
        <f>IF(ISERROR(AI9+AT9),"",AI9+AT9)</f>
        <v>16.64888151848152</v>
      </c>
      <c r="AV9" s="59">
        <f>IF(ISERROR((AW9-AU9)/AW9),"",(AW9-AU9)/AW9)</f>
        <v>0.41719201218851154</v>
      </c>
      <c r="AW9" s="60">
        <f t="shared" si="18"/>
        <v>28.566666666666666</v>
      </c>
      <c r="AX9" s="55">
        <f t="shared" si="17"/>
        <v>29.995000000000001</v>
      </c>
      <c r="AY9" s="61">
        <v>59.99</v>
      </c>
      <c r="AZ9" s="57">
        <v>0.5</v>
      </c>
      <c r="BA9" s="51">
        <v>90</v>
      </c>
    </row>
    <row r="10" spans="1:53" ht="111.6" customHeight="1" x14ac:dyDescent="0.25">
      <c r="A10" s="38">
        <v>4</v>
      </c>
      <c r="B10" s="65" t="s">
        <v>117</v>
      </c>
      <c r="C10" s="39" t="s">
        <v>98</v>
      </c>
      <c r="D10" s="40" t="s">
        <v>55</v>
      </c>
      <c r="E10" s="40"/>
      <c r="F10" s="40" t="s">
        <v>56</v>
      </c>
      <c r="G10" s="14" t="s">
        <v>106</v>
      </c>
      <c r="H10" s="40" t="s">
        <v>118</v>
      </c>
      <c r="I10" s="40" t="s">
        <v>119</v>
      </c>
      <c r="J10" s="41" t="s">
        <v>120</v>
      </c>
      <c r="K10" s="40" t="s">
        <v>109</v>
      </c>
      <c r="L10" s="42" t="s">
        <v>121</v>
      </c>
      <c r="M10" s="40" t="s">
        <v>104</v>
      </c>
      <c r="N10" s="43" t="s">
        <v>122</v>
      </c>
      <c r="O10" s="44"/>
      <c r="P10" s="40" t="s">
        <v>65</v>
      </c>
      <c r="Q10" s="45">
        <f>'[1]Factory Cost-Ekin'!J5</f>
        <v>136.80000000000001</v>
      </c>
      <c r="R10" s="46">
        <v>7.7</v>
      </c>
      <c r="S10" s="47">
        <f>Q10/R10</f>
        <v>17.766233766233768</v>
      </c>
      <c r="T10" s="47">
        <v>17.77</v>
      </c>
      <c r="U10" s="48"/>
      <c r="V10" s="40" t="s">
        <v>66</v>
      </c>
      <c r="W10" s="49">
        <v>42</v>
      </c>
      <c r="X10" s="49">
        <v>32</v>
      </c>
      <c r="Y10" s="49">
        <v>48</v>
      </c>
      <c r="Z10" s="50">
        <v>17.899999999999999</v>
      </c>
      <c r="AA10" s="51">
        <v>3</v>
      </c>
      <c r="AB10" s="52">
        <f t="shared" ref="AB10:AB11" si="19">IF(W10="","",W10*X10*Y10/1000000)</f>
        <v>6.4512E-2</v>
      </c>
      <c r="AC10" s="53">
        <f t="shared" ref="AC10:AC11" si="20">IF(AA10="","",65/AB10*AA10)</f>
        <v>3022.6934523809523</v>
      </c>
      <c r="AD10" s="54">
        <v>4000</v>
      </c>
      <c r="AE10" s="55">
        <f t="shared" ref="AE10:AE11" si="21">IF(ISERROR(AD10/AC10),"",AD10/AC10)</f>
        <v>1.323323076923077</v>
      </c>
      <c r="AF10" s="40" t="s">
        <v>123</v>
      </c>
      <c r="AG10" s="56">
        <v>0.22800000000000001</v>
      </c>
      <c r="AH10" s="55">
        <f t="shared" ref="AH10:AH11" si="22">IF(ISERROR(S10*AG10),"",S10*AG10)</f>
        <v>4.0507012987012994</v>
      </c>
      <c r="AI10" s="55">
        <f t="shared" ref="AI10:AI11" si="23">IF(ISERROR(T10+AE10+AH10),"",T10+AE10+AH10)</f>
        <v>23.144024375624376</v>
      </c>
      <c r="AJ10" s="57">
        <v>0</v>
      </c>
      <c r="AK10" s="55">
        <f t="shared" ref="AK10:AK11" si="24">IF(ISERROR(AW10*AJ10),"",AW10*AJ10)</f>
        <v>0</v>
      </c>
      <c r="AL10" s="57">
        <v>0</v>
      </c>
      <c r="AM10" s="55">
        <f t="shared" ref="AM10:AM11" si="25">IF(ISERROR(AW10*AL10),"",AW10*AL10)</f>
        <v>0</v>
      </c>
      <c r="AN10" s="57">
        <v>0</v>
      </c>
      <c r="AO10" s="55">
        <f t="shared" ref="AO10:AO11" si="26">IF(ISERROR(AW10*AN10),"",AW10*AN10)</f>
        <v>0</v>
      </c>
      <c r="AP10" s="55">
        <v>0</v>
      </c>
      <c r="AQ10" s="54">
        <v>0</v>
      </c>
      <c r="AR10" s="57">
        <v>0</v>
      </c>
      <c r="AS10" s="55">
        <f t="shared" ref="AS10:AS11" si="27">IF(ISERROR(AW10*AR10),"",AW10*AR10)</f>
        <v>0</v>
      </c>
      <c r="AT10" s="55">
        <f t="shared" ref="AT10:AT11" si="28">IF(ISERROR(AK10+AM10+AO10+AP10+AS10),"",AK10+AM10+AO10+AP10+AS10)</f>
        <v>0</v>
      </c>
      <c r="AU10" s="58">
        <f t="shared" ref="AU10:AU11" si="29">IF(ISERROR(AI10+AT10),"",AI10+AT10)</f>
        <v>23.144024375624376</v>
      </c>
      <c r="AV10" s="59">
        <f t="shared" ref="AV10:AV11" si="30">IF(ISERROR((AW10-AU10)/AW10),"",(AW10-AU10)/AW10)</f>
        <v>0.30558006588353764</v>
      </c>
      <c r="AW10" s="60">
        <f t="shared" si="18"/>
        <v>33.328571428571422</v>
      </c>
      <c r="AX10" s="55">
        <f t="shared" si="17"/>
        <v>34.994999999999997</v>
      </c>
      <c r="AY10" s="61">
        <v>69.989999999999995</v>
      </c>
      <c r="AZ10" s="57">
        <v>0.5</v>
      </c>
      <c r="BA10" s="51">
        <v>387</v>
      </c>
    </row>
    <row r="11" spans="1:53" ht="109.9" customHeight="1" x14ac:dyDescent="0.25">
      <c r="A11" s="38">
        <v>5</v>
      </c>
      <c r="B11" s="65"/>
      <c r="C11" s="39" t="s">
        <v>98</v>
      </c>
      <c r="D11" s="40" t="s">
        <v>55</v>
      </c>
      <c r="E11" s="40"/>
      <c r="F11" s="40" t="s">
        <v>56</v>
      </c>
      <c r="G11" s="14" t="s">
        <v>106</v>
      </c>
      <c r="H11" s="40" t="s">
        <v>118</v>
      </c>
      <c r="I11" s="40" t="s">
        <v>124</v>
      </c>
      <c r="J11" s="41" t="s">
        <v>125</v>
      </c>
      <c r="K11" s="40" t="s">
        <v>126</v>
      </c>
      <c r="L11" s="42" t="s">
        <v>127</v>
      </c>
      <c r="M11" s="40" t="s">
        <v>104</v>
      </c>
      <c r="N11" s="43" t="s">
        <v>128</v>
      </c>
      <c r="O11" s="44"/>
      <c r="P11" s="40" t="s">
        <v>65</v>
      </c>
      <c r="Q11" s="45">
        <f>'[1]Factory Cost-Ekin'!J6</f>
        <v>155</v>
      </c>
      <c r="R11" s="46">
        <v>7.7</v>
      </c>
      <c r="S11" s="47">
        <f t="shared" ref="S11" si="31">Q11/R11</f>
        <v>20.129870129870131</v>
      </c>
      <c r="T11" s="47">
        <v>20.13</v>
      </c>
      <c r="U11" s="48"/>
      <c r="V11" s="40" t="s">
        <v>66</v>
      </c>
      <c r="W11" s="49">
        <v>42</v>
      </c>
      <c r="X11" s="49">
        <v>32</v>
      </c>
      <c r="Y11" s="49">
        <v>54</v>
      </c>
      <c r="Z11" s="50">
        <v>20.399999999999999</v>
      </c>
      <c r="AA11" s="51">
        <v>3</v>
      </c>
      <c r="AB11" s="52">
        <f t="shared" si="19"/>
        <v>7.2576000000000002E-2</v>
      </c>
      <c r="AC11" s="53">
        <f t="shared" si="20"/>
        <v>2686.8386243386244</v>
      </c>
      <c r="AD11" s="54">
        <v>4000</v>
      </c>
      <c r="AE11" s="55">
        <f t="shared" si="21"/>
        <v>1.4887384615384616</v>
      </c>
      <c r="AF11" s="40" t="s">
        <v>96</v>
      </c>
      <c r="AG11" s="56">
        <v>0.22800000000000001</v>
      </c>
      <c r="AH11" s="55">
        <f t="shared" si="22"/>
        <v>4.5896103896103897</v>
      </c>
      <c r="AI11" s="55">
        <f t="shared" si="23"/>
        <v>26.208348851148848</v>
      </c>
      <c r="AJ11" s="57">
        <v>0</v>
      </c>
      <c r="AK11" s="55">
        <f t="shared" si="24"/>
        <v>0</v>
      </c>
      <c r="AL11" s="57">
        <v>0</v>
      </c>
      <c r="AM11" s="55">
        <f t="shared" si="25"/>
        <v>0</v>
      </c>
      <c r="AN11" s="57">
        <v>0</v>
      </c>
      <c r="AO11" s="55">
        <f t="shared" si="26"/>
        <v>0</v>
      </c>
      <c r="AP11" s="55">
        <v>0</v>
      </c>
      <c r="AQ11" s="54">
        <v>0</v>
      </c>
      <c r="AR11" s="57">
        <v>0</v>
      </c>
      <c r="AS11" s="55">
        <f t="shared" si="27"/>
        <v>0</v>
      </c>
      <c r="AT11" s="55">
        <f t="shared" si="28"/>
        <v>0</v>
      </c>
      <c r="AU11" s="58">
        <f t="shared" si="29"/>
        <v>26.208348851148848</v>
      </c>
      <c r="AV11" s="59">
        <f t="shared" si="30"/>
        <v>0.31194483576181292</v>
      </c>
      <c r="AW11" s="60">
        <f t="shared" si="18"/>
        <v>38.090476190476188</v>
      </c>
      <c r="AX11" s="55">
        <f t="shared" si="17"/>
        <v>39.994999999999997</v>
      </c>
      <c r="AY11" s="61">
        <v>79.989999999999995</v>
      </c>
      <c r="AZ11" s="57">
        <v>0.5</v>
      </c>
      <c r="BA11" s="51">
        <v>315</v>
      </c>
    </row>
  </sheetData>
  <sheetProtection insertRows="0" deleteRows="0" sort="0"/>
  <protectedRanges>
    <protectedRange sqref="A12:J183 L12:BA183" name="Range1"/>
    <protectedRange sqref="K12:K181" name="Range1_1"/>
    <protectedRange sqref="O2:R4 A7:C11 R5:R6 O5:P6 E2:G11 A2:C6 L2:M11 O7:R9 R10:R11 U2:V11 Z2:AE11 AG2:BA11 O10:P11" name="Range1_3"/>
    <protectedRange sqref="H2:J11" name="Range1_4_1"/>
    <protectedRange sqref="K2:K11" name="Range1_1_2_1"/>
    <protectedRange sqref="Q10:Q11 Q5:Q6" name="Range1_7_1"/>
    <protectedRange sqref="AF2:AF11" name="Range1_2_1"/>
    <protectedRange sqref="D2:D6 D7:D11" name="Range1_6"/>
    <protectedRange sqref="S2:T6 S7:T11" name="Range1_12"/>
  </protectedRanges>
  <mergeCells count="4">
    <mergeCell ref="B5:B6"/>
    <mergeCell ref="B7:B9"/>
    <mergeCell ref="B10:B11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2026-05-14T07:55:19Z</dcterms:created>
  <dcterms:modified xsi:type="dcterms:W3CDTF">2026-05-14T08:07:48Z</dcterms:modified>
</cp:coreProperties>
</file>