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87132F1-856C-485E-87E5-B2BC32BCB09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9" i="13" l="1"/>
  <c r="BF18" i="13"/>
  <c r="BF11" i="13"/>
  <c r="BG18" i="13"/>
  <c r="BB18" i="13"/>
  <c r="AT18" i="13"/>
  <c r="AQ18" i="13"/>
  <c r="AO18" i="13"/>
  <c r="AK18" i="13"/>
  <c r="Y18" i="13"/>
  <c r="X18" i="13"/>
  <c r="BG17" i="13"/>
  <c r="BF17" i="13"/>
  <c r="BB17" i="13"/>
  <c r="AT17" i="13"/>
  <c r="AQ17" i="13"/>
  <c r="AO17" i="13"/>
  <c r="AU17" i="13" s="1"/>
  <c r="AK17" i="13"/>
  <c r="Y17" i="13"/>
  <c r="X17" i="13"/>
  <c r="BG16" i="13"/>
  <c r="BF16" i="13"/>
  <c r="BB16" i="13"/>
  <c r="AT16" i="13"/>
  <c r="AQ16" i="13"/>
  <c r="AO16" i="13"/>
  <c r="AU16" i="13" s="1"/>
  <c r="AK16" i="13"/>
  <c r="Y16" i="13"/>
  <c r="X16" i="13"/>
  <c r="BH15" i="13"/>
  <c r="BG15" i="13"/>
  <c r="BF15" i="13"/>
  <c r="BB15" i="13"/>
  <c r="AT15" i="13"/>
  <c r="AQ15" i="13"/>
  <c r="AO15" i="13"/>
  <c r="AU15" i="13" s="1"/>
  <c r="AK15" i="13"/>
  <c r="AG15" i="13"/>
  <c r="AI15" i="13" s="1"/>
  <c r="AE15" i="13"/>
  <c r="BH14" i="13"/>
  <c r="BG14" i="13"/>
  <c r="BF14" i="13"/>
  <c r="BB14" i="13"/>
  <c r="AT14" i="13"/>
  <c r="AQ14" i="13"/>
  <c r="AO14" i="13"/>
  <c r="AU14" i="13" s="1"/>
  <c r="AK14" i="13"/>
  <c r="AG14" i="13"/>
  <c r="AI14" i="13" s="1"/>
  <c r="AE14" i="13"/>
  <c r="BH13" i="13"/>
  <c r="BG13" i="13"/>
  <c r="BF13" i="13"/>
  <c r="BB13" i="13"/>
  <c r="AT13" i="13"/>
  <c r="AQ13" i="13"/>
  <c r="AO13" i="13"/>
  <c r="AK13" i="13"/>
  <c r="AG13" i="13"/>
  <c r="AI13" i="13" s="1"/>
  <c r="AE13" i="13"/>
  <c r="BH12" i="13"/>
  <c r="BG12" i="13"/>
  <c r="BF12" i="13"/>
  <c r="BB12" i="13"/>
  <c r="AT12" i="13"/>
  <c r="AQ12" i="13"/>
  <c r="AO12" i="13"/>
  <c r="AK12" i="13"/>
  <c r="AL12" i="13" s="1"/>
  <c r="AG12" i="13"/>
  <c r="AI12" i="13" s="1"/>
  <c r="AE12" i="13"/>
  <c r="BH11" i="13"/>
  <c r="BG11" i="13"/>
  <c r="BB11" i="13"/>
  <c r="AT11" i="13"/>
  <c r="AQ11" i="13"/>
  <c r="AO11" i="13"/>
  <c r="AU11" i="13" s="1"/>
  <c r="AK11" i="13"/>
  <c r="AG11" i="13"/>
  <c r="AI11" i="13" s="1"/>
  <c r="AE11" i="13"/>
  <c r="BH10" i="13"/>
  <c r="BG10" i="13"/>
  <c r="BF10" i="13"/>
  <c r="BB10" i="13"/>
  <c r="AT10" i="13"/>
  <c r="AQ10" i="13"/>
  <c r="AO10" i="13"/>
  <c r="AK10" i="13"/>
  <c r="AG10" i="13"/>
  <c r="AI10" i="13" s="1"/>
  <c r="AE10" i="13"/>
  <c r="BH9" i="13"/>
  <c r="BG9" i="13"/>
  <c r="BF9" i="13"/>
  <c r="BB9" i="13"/>
  <c r="AT9" i="13"/>
  <c r="AQ9" i="13"/>
  <c r="AO9" i="13"/>
  <c r="AK9" i="13"/>
  <c r="AG9" i="13"/>
  <c r="AI9" i="13" s="1"/>
  <c r="AE9" i="13"/>
  <c r="BH8" i="13"/>
  <c r="BG8" i="13"/>
  <c r="BF8" i="13"/>
  <c r="BB8" i="13"/>
  <c r="AT8" i="13"/>
  <c r="AQ8" i="13"/>
  <c r="AO8" i="13"/>
  <c r="AU8" i="13" s="1"/>
  <c r="AK8" i="13"/>
  <c r="AG8" i="13"/>
  <c r="AI8" i="13" s="1"/>
  <c r="AE8" i="13"/>
  <c r="BH7" i="13"/>
  <c r="BG7" i="13"/>
  <c r="BF7" i="13"/>
  <c r="BB7" i="13"/>
  <c r="AT7" i="13"/>
  <c r="AQ7" i="13"/>
  <c r="AO7" i="13"/>
  <c r="AU7" i="13" s="1"/>
  <c r="AK7" i="13"/>
  <c r="AG7" i="13"/>
  <c r="AI7" i="13" s="1"/>
  <c r="AE7" i="13"/>
  <c r="BH6" i="13"/>
  <c r="BG6" i="13"/>
  <c r="BF6" i="13"/>
  <c r="BB6" i="13"/>
  <c r="AT6" i="13"/>
  <c r="AQ6" i="13"/>
  <c r="AO6" i="13"/>
  <c r="AU6" i="13" s="1"/>
  <c r="AK6" i="13"/>
  <c r="AG6" i="13"/>
  <c r="AI6" i="13" s="1"/>
  <c r="AE6" i="13"/>
  <c r="BH5" i="13"/>
  <c r="BG5" i="13"/>
  <c r="BF5" i="13"/>
  <c r="BB5" i="13"/>
  <c r="AT5" i="13"/>
  <c r="AQ5" i="13"/>
  <c r="AO5" i="13"/>
  <c r="AU5" i="13" s="1"/>
  <c r="AK5" i="13"/>
  <c r="AG5" i="13"/>
  <c r="AI5" i="13" s="1"/>
  <c r="AE5" i="13"/>
  <c r="BH4" i="13"/>
  <c r="BG4" i="13"/>
  <c r="BF4" i="13"/>
  <c r="BF19" i="13" s="1"/>
  <c r="BB4" i="13"/>
  <c r="AT4" i="13"/>
  <c r="AQ4" i="13"/>
  <c r="AO4" i="13"/>
  <c r="AU4" i="13" s="1"/>
  <c r="AK4" i="13"/>
  <c r="AG4" i="13"/>
  <c r="AI4" i="13" s="1"/>
  <c r="AE4" i="13"/>
  <c r="AU9" i="13" l="1"/>
  <c r="AM12" i="13"/>
  <c r="AU18" i="13"/>
  <c r="AU10" i="13"/>
  <c r="AU13" i="13"/>
  <c r="AU12" i="13"/>
  <c r="AV12" i="13" s="1"/>
  <c r="AE18" i="13"/>
  <c r="BH18" i="13"/>
  <c r="AG18" i="13"/>
  <c r="AI18" i="13" s="1"/>
  <c r="BH17" i="13"/>
  <c r="AE17" i="13"/>
  <c r="AG17" i="13"/>
  <c r="AI17" i="13" s="1"/>
  <c r="AL17" i="13"/>
  <c r="BH16" i="13"/>
  <c r="AG16" i="13"/>
  <c r="AI16" i="13" s="1"/>
  <c r="AE16" i="13"/>
  <c r="AL16" i="13"/>
  <c r="AL13" i="13"/>
  <c r="AM13" i="13" s="1"/>
  <c r="AL11" i="13"/>
  <c r="AM11" i="13" s="1"/>
  <c r="AV11" i="13" s="1"/>
  <c r="AL10" i="13"/>
  <c r="AM10" i="13" s="1"/>
  <c r="AV10" i="13" s="1"/>
  <c r="AL9" i="13"/>
  <c r="AM9" i="13" s="1"/>
  <c r="AV9" i="13" s="1"/>
  <c r="AL8" i="13"/>
  <c r="AM8" i="13" s="1"/>
  <c r="AV8" i="13" s="1"/>
  <c r="AL7" i="13"/>
  <c r="AM7" i="13" s="1"/>
  <c r="AV7" i="13" s="1"/>
  <c r="AL6" i="13"/>
  <c r="AM6" i="13" s="1"/>
  <c r="AV6" i="13" s="1"/>
  <c r="AL5" i="13"/>
  <c r="AM5" i="13" s="1"/>
  <c r="AV5" i="13" s="1"/>
  <c r="AL4" i="13"/>
  <c r="AM4" i="13" s="1"/>
  <c r="AV4" i="13" s="1"/>
  <c r="AW12" i="13" l="1"/>
  <c r="BE12" i="13"/>
  <c r="AW11" i="13"/>
  <c r="BE11" i="13"/>
  <c r="AW10" i="13"/>
  <c r="BE10" i="13"/>
  <c r="BH19" i="13"/>
  <c r="AM17" i="13"/>
  <c r="AV17" i="13" s="1"/>
  <c r="BH22" i="13"/>
  <c r="BH23" i="13" s="1"/>
  <c r="AV13" i="13"/>
  <c r="AM16" i="13"/>
  <c r="AV16" i="13" s="1"/>
  <c r="AL18" i="13"/>
  <c r="AM18" i="13" s="1"/>
  <c r="AV18" i="13" s="1"/>
  <c r="AL14" i="13"/>
  <c r="AM14" i="13" s="1"/>
  <c r="AV14" i="13" s="1"/>
  <c r="AW9" i="13"/>
  <c r="BE9" i="13"/>
  <c r="AW8" i="13"/>
  <c r="BE8" i="13"/>
  <c r="AW7" i="13"/>
  <c r="BE7" i="13"/>
  <c r="AW6" i="13"/>
  <c r="BE6" i="13"/>
  <c r="AW5" i="13"/>
  <c r="BE5" i="13"/>
  <c r="AW4" i="13"/>
  <c r="BE4" i="13"/>
  <c r="AW17" i="13" l="1"/>
  <c r="BE17" i="13"/>
  <c r="AW13" i="13"/>
  <c r="BE13" i="13"/>
  <c r="AW16" i="13"/>
  <c r="BE16" i="13"/>
  <c r="AW18" i="13"/>
  <c r="BE18" i="13"/>
  <c r="BE14" i="13"/>
  <c r="AW14" i="13"/>
  <c r="AL15" i="13" l="1"/>
  <c r="AM15" i="13" s="1"/>
  <c r="AV15" i="13" s="1"/>
  <c r="AW15" i="13" l="1"/>
  <c r="BE15" i="13"/>
  <c r="BE19" i="13" s="1"/>
  <c r="AW1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3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3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3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3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3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3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3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3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3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3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3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3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3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3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3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3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<sst xmlns="http://schemas.openxmlformats.org/spreadsheetml/2006/main" count="359" uniqueCount="177">
  <si>
    <t>Brand</t>
  </si>
  <si>
    <t>Shower Curtain</t>
  </si>
  <si>
    <t>China</t>
  </si>
  <si>
    <t>Licensor</t>
  </si>
  <si>
    <t>30 characters</t>
  </si>
  <si>
    <t>Freight</t>
  </si>
  <si>
    <t>free text</t>
  </si>
  <si>
    <t>Optional</t>
  </si>
  <si>
    <t>Required</t>
  </si>
  <si>
    <t>Cost</t>
  </si>
  <si>
    <t>Master Carton</t>
  </si>
  <si>
    <t>Individual Carton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</si>
  <si>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</si>
  <si>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</si>
  <si>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</si>
  <si>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</si>
  <si>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</si>
  <si>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</si>
  <si>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</si>
  <si>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</si>
  <si>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</si>
  <si>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</si>
  <si>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</si>
  <si>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</si>
  <si>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</si>
  <si>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</si>
  <si>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</si>
  <si>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</si>
  <si>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</si>
  <si>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</si>
  <si>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</si>
  <si>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</si>
  <si>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</si>
  <si>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</si>
  <si>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</si>
  <si>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</si>
  <si>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</si>
  <si>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</si>
  <si>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</si>
  <si>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</si>
  <si>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</si>
  <si>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</si>
  <si>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</si>
  <si>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</si>
  <si>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</si>
  <si>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</si>
  <si>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</si>
  <si>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</si>
  <si>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</si>
  <si>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</si>
  <si>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</si>
  <si>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</si>
  <si>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</si>
  <si>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</si>
  <si>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</si>
  <si>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</si>
  <si>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</si>
  <si>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</si>
  <si>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</si>
  <si>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</si>
  <si>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</si>
  <si>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</si>
  <si>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</si>
  <si>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</si>
  <si>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</si>
  <si>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</si>
  <si>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</si>
  <si>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</si>
  <si>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</si>
  <si>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</si>
  <si>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</si>
  <si>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</si>
  <si>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</si>
  <si>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</si>
  <si>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</si>
  <si>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</si>
  <si>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</si>
  <si>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</si>
  <si>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</si>
  <si>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</si>
  <si>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</si>
  <si>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Shanghai,China</t>
  </si>
  <si>
    <t>JR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</si>
  <si>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</si>
  <si>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</si>
  <si>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</si>
  <si>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</si>
  <si>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</si>
  <si>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</si>
  <si>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</si>
  <si>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</si>
  <si>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YQL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</si>
  <si>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</si>
  <si>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</si>
  <si>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</si>
  <si>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</si>
  <si>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</si>
  <si>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</si>
  <si>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</si>
  <si>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</si>
  <si>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</si>
  <si>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</si>
  <si>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</si>
  <si>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</si>
  <si>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</si>
  <si>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</si>
  <si>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HG: $1.85; $3.55</t>
  </si>
  <si>
    <t>HG:$3.57, $7.35</t>
  </si>
  <si>
    <t>$HG: $1.24, $2.4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</si>
  <si>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</si>
  <si>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</si>
  <si>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</si>
  <si>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</si>
  <si>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SAJ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</si>
  <si>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</si>
  <si>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</si>
  <si>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</si>
  <si>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</si>
  <si>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</si>
  <si>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</si>
  <si>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</si>
  <si>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</si>
  <si>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</si>
  <si>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NCRJ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</si>
  <si>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</si>
  <si>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</si>
  <si>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</si>
  <si>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</si>
  <si>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NBJJ</t>
    <phoneticPr fontId="6" type="noConversion"/>
  </si>
  <si>
    <t>UT203</t>
    <phoneticPr fontId="6" type="noConversion"/>
  </si>
  <si>
    <t>PVC 420g/pc</t>
    <phoneticPr fontId="6" type="noConversion"/>
  </si>
  <si>
    <t>JIAJIE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</si>
  <si>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</si>
  <si>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</si>
  <si>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</si>
  <si>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</si>
  <si>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8" type="noConversion"/>
  </si>
  <si>
    <t>100% Polyester, 210gsm matte rib slub, printed.12 buttonholes</t>
    <phoneticPr fontId="28" type="noConversion"/>
  </si>
  <si>
    <t>100% Polyester 85gsm Microfiber Embossed 3M water repellent. 12 silver grommets, 2 magnets at bottom</t>
    <phoneticPr fontId="28" type="noConversion"/>
  </si>
  <si>
    <t>90% PE 10% EVA 8 gauge Clear Peva mesh top, 12 Green grommets+3 magnets</t>
    <phoneticPr fontId="28" type="noConversion"/>
  </si>
  <si>
    <t>90% PE 10% EVA, 8 gauge Clear Peva</t>
    <phoneticPr fontId="28" type="noConversion"/>
  </si>
  <si>
    <t>90% PE 10% EVA 8 gauge Clear Peva, 12 silver grommets+3 magnets</t>
    <phoneticPr fontId="28" type="noConversion"/>
  </si>
  <si>
    <t>90% PE 10% EVA 8 gauge Frosted Peva mesh top, 12 Blue grommets+3 magnets</t>
    <phoneticPr fontId="28" type="noConversion"/>
  </si>
  <si>
    <t>98% polyester 2% spandex jacquard shower curtain</t>
    <phoneticPr fontId="6" type="noConversion"/>
  </si>
  <si>
    <t>50% polyester 50% Cotton printed shower curtain</t>
    <phoneticPr fontId="28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</si>
  <si>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8" type="noConversion"/>
  </si>
  <si>
    <t xml:space="preserve"> 50% polyester 50% Cotton </t>
    <phoneticPr fontId="6" type="noConversion"/>
  </si>
  <si>
    <t xml:space="preserve">100% polyester waffle shower curtain
</t>
    <phoneticPr fontId="28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</si>
  <si>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</si>
  <si>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8" type="noConversion"/>
  </si>
  <si>
    <t>Multi</t>
    <phoneticPr fontId="28" type="noConversion"/>
  </si>
  <si>
    <t>Sage</t>
    <phoneticPr fontId="28" type="noConversion"/>
  </si>
  <si>
    <t>cashmere blue</t>
    <phoneticPr fontId="28" type="noConversion"/>
  </si>
  <si>
    <t>reseda</t>
    <phoneticPr fontId="28" type="noConversion"/>
  </si>
  <si>
    <t>white</t>
    <phoneticPr fontId="28" type="noConversion"/>
  </si>
  <si>
    <t>pastel blue</t>
    <phoneticPr fontId="28" type="noConversion"/>
  </si>
  <si>
    <t>rainy day</t>
    <phoneticPr fontId="28" type="noConversion"/>
  </si>
  <si>
    <t>illusion blue</t>
    <phoneticPr fontId="28" type="noConversion"/>
  </si>
  <si>
    <t>Waffle</t>
    <phoneticPr fontId="28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</si>
  <si>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</si>
  <si>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</si>
  <si>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</si>
  <si>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</si>
  <si>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</si>
  <si>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</si>
  <si>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</si>
  <si>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8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</si>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</sst>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  <numFmt numFmtId="194" formatCode="&quot;$&quot;#,##0"/>
  </numFmts>
  <fonts count="29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4" tint="0.79989013336588644"/>
        <bgColor rgb="FFCCFFFF"/>
      </patternFill>
    </fill>
    <fill>
      <patternFill patternType="solid">
        <fgColor theme="5" tint="0.79989013336588644"/>
        <bgColor rgb="FFE8E8E8"/>
      </patternFill>
    </fill>
    <fill>
      <patternFill patternType="solid">
        <fgColor theme="4" tint="0.59987182226020086"/>
        <bgColor rgb="FF84E291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5" fillId="0" borderId="0" applyBorder="0" applyProtection="0"/>
    <xf numFmtId="0" fontId="3" fillId="0" borderId="0"/>
    <xf numFmtId="178" fontId="3" fillId="0" borderId="0"/>
    <xf numFmtId="0" fontId="3" fillId="0" borderId="0"/>
    <xf numFmtId="0" fontId="16" fillId="0" borderId="0"/>
    <xf numFmtId="0" fontId="17" fillId="0" borderId="0"/>
    <xf numFmtId="0" fontId="9" fillId="0" borderId="0"/>
    <xf numFmtId="9" fontId="9" fillId="0" borderId="0" applyBorder="0" applyAlignment="0" applyProtection="0"/>
    <xf numFmtId="176" fontId="17" fillId="0" borderId="0" applyBorder="0" applyProtection="0"/>
    <xf numFmtId="177" fontId="17" fillId="0" borderId="0" applyBorder="0" applyProtection="0"/>
    <xf numFmtId="9" fontId="17" fillId="0" borderId="0" applyBorder="0" applyProtection="0"/>
    <xf numFmtId="0" fontId="17" fillId="0" borderId="0"/>
    <xf numFmtId="0" fontId="5" fillId="0" borderId="0"/>
    <xf numFmtId="0" fontId="15" fillId="0" borderId="0"/>
    <xf numFmtId="0" fontId="15" fillId="0" borderId="0"/>
    <xf numFmtId="0" fontId="15" fillId="0" borderId="0"/>
  </cellStyleXfs>
  <cellXfs count="18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179" fontId="2" fillId="0" borderId="0" xfId="0" applyNumberFormat="1" applyFont="1" applyAlignment="1">
      <alignment wrapText="1"/>
    </xf>
    <xf numFmtId="0" fontId="10" fillId="0" borderId="0" xfId="4" applyFont="1"/>
    <xf numFmtId="0" fontId="12" fillId="3" borderId="2" xfId="0" applyFont="1" applyFill="1" applyBorder="1" applyAlignment="1">
      <alignment wrapText="1"/>
    </xf>
    <xf numFmtId="182" fontId="12" fillId="3" borderId="2" xfId="0" applyNumberFormat="1" applyFont="1" applyFill="1" applyBorder="1" applyAlignment="1">
      <alignment wrapText="1"/>
    </xf>
    <xf numFmtId="0" fontId="12" fillId="3" borderId="7" xfId="0" applyFont="1" applyFill="1" applyBorder="1" applyAlignment="1">
      <alignment wrapText="1"/>
    </xf>
    <xf numFmtId="179" fontId="12" fillId="6" borderId="3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0" fontId="12" fillId="8" borderId="1" xfId="4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81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182" fontId="14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4" fillId="0" borderId="1" xfId="5" applyNumberFormat="1" applyFont="1" applyBorder="1" applyAlignment="1">
      <alignment wrapText="1"/>
    </xf>
    <xf numFmtId="179" fontId="14" fillId="0" borderId="1" xfId="5" applyNumberFormat="1" applyFont="1" applyBorder="1" applyAlignment="1">
      <alignment wrapText="1"/>
    </xf>
    <xf numFmtId="10" fontId="12" fillId="0" borderId="1" xfId="0" applyNumberFormat="1" applyFont="1" applyBorder="1" applyAlignment="1">
      <alignment horizontal="center" wrapText="1"/>
    </xf>
    <xf numFmtId="179" fontId="14" fillId="8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4" fillId="6" borderId="1" xfId="5" applyNumberFormat="1" applyFont="1" applyFill="1" applyBorder="1" applyAlignment="1">
      <alignment wrapText="1"/>
    </xf>
    <xf numFmtId="10" fontId="14" fillId="6" borderId="1" xfId="5" applyNumberFormat="1" applyFont="1" applyFill="1" applyBorder="1" applyAlignment="1">
      <alignment wrapText="1"/>
    </xf>
    <xf numFmtId="179" fontId="8" fillId="10" borderId="1" xfId="5" applyNumberFormat="1" applyFont="1" applyFill="1" applyBorder="1" applyAlignment="1">
      <alignment wrapText="1"/>
    </xf>
    <xf numFmtId="179" fontId="12" fillId="6" borderId="1" xfId="0" applyNumberFormat="1" applyFont="1" applyFill="1" applyBorder="1" applyAlignment="1">
      <alignment horizontal="center" wrapText="1"/>
    </xf>
    <xf numFmtId="179" fontId="8" fillId="6" borderId="5" xfId="5" applyNumberFormat="1" applyFont="1" applyFill="1" applyBorder="1" applyAlignment="1">
      <alignment wrapText="1"/>
    </xf>
    <xf numFmtId="2" fontId="14" fillId="0" borderId="1" xfId="5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0" fontId="17" fillId="0" borderId="1" xfId="11" applyFont="1" applyBorder="1" applyAlignment="1">
      <alignment horizontal="center" vertical="center"/>
    </xf>
    <xf numFmtId="0" fontId="16" fillId="0" borderId="1" xfId="11" applyBorder="1" applyAlignment="1">
      <alignment horizontal="center" vertical="center"/>
    </xf>
    <xf numFmtId="190" fontId="17" fillId="0" borderId="1" xfId="11" applyNumberFormat="1" applyFont="1" applyBorder="1" applyAlignment="1">
      <alignment horizontal="center" vertical="center"/>
    </xf>
    <xf numFmtId="191" fontId="16" fillId="0" borderId="1" xfId="11" applyNumberFormat="1" applyBorder="1" applyAlignment="1">
      <alignment horizontal="center" vertical="center"/>
    </xf>
    <xf numFmtId="2" fontId="16" fillId="0" borderId="1" xfId="11" applyNumberFormat="1" applyBorder="1" applyAlignment="1">
      <alignment horizontal="center" vertical="center"/>
    </xf>
    <xf numFmtId="0" fontId="20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79" fontId="12" fillId="0" borderId="0" xfId="0" applyNumberFormat="1" applyFont="1"/>
    <xf numFmtId="188" fontId="18" fillId="13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wrapText="1"/>
    </xf>
    <xf numFmtId="179" fontId="18" fillId="0" borderId="0" xfId="0" applyNumberFormat="1" applyFont="1"/>
    <xf numFmtId="0" fontId="18" fillId="4" borderId="5" xfId="0" applyFont="1" applyFill="1" applyBorder="1" applyAlignment="1">
      <alignment horizontal="center" wrapText="1"/>
    </xf>
    <xf numFmtId="179" fontId="18" fillId="9" borderId="5" xfId="0" applyNumberFormat="1" applyFont="1" applyFill="1" applyBorder="1" applyAlignment="1">
      <alignment horizontal="center" wrapText="1"/>
    </xf>
    <xf numFmtId="184" fontId="18" fillId="13" borderId="5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8" fillId="13" borderId="7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8" fillId="13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9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3" fillId="0" borderId="1" xfId="0" applyFont="1" applyBorder="1" applyAlignment="1">
      <alignment horizontal="left"/>
    </xf>
    <xf numFmtId="186" fontId="17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8" fillId="0" borderId="1" xfId="0" applyNumberFormat="1" applyFont="1" applyBorder="1" applyAlignment="1">
      <alignment horizontal="center" vertical="center"/>
    </xf>
    <xf numFmtId="188" fontId="18" fillId="0" borderId="2" xfId="0" applyNumberFormat="1" applyFont="1" applyBorder="1" applyAlignment="1">
      <alignment horizontal="center" vertical="center"/>
    </xf>
    <xf numFmtId="179" fontId="8" fillId="15" borderId="1" xfId="5" applyNumberFormat="1" applyFont="1" applyFill="1" applyBorder="1" applyAlignment="1">
      <alignment wrapText="1"/>
    </xf>
    <xf numFmtId="188" fontId="18" fillId="11" borderId="1" xfId="0" applyNumberFormat="1" applyFont="1" applyFill="1" applyBorder="1" applyAlignment="1">
      <alignment horizontal="center" vertical="center"/>
    </xf>
    <xf numFmtId="188" fontId="18" fillId="11" borderId="2" xfId="0" applyNumberFormat="1" applyFont="1" applyFill="1" applyBorder="1" applyAlignment="1">
      <alignment horizontal="center" vertical="center"/>
    </xf>
    <xf numFmtId="179" fontId="18" fillId="11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8" borderId="5" xfId="4" applyFont="1" applyFill="1" applyBorder="1" applyAlignment="1">
      <alignment horizontal="center" wrapText="1"/>
    </xf>
    <xf numFmtId="0" fontId="0" fillId="0" borderId="5" xfId="0" applyBorder="1" applyAlignment="1">
      <alignment vertical="center"/>
    </xf>
    <xf numFmtId="179" fontId="21" fillId="13" borderId="1" xfId="0" applyNumberFormat="1" applyFont="1" applyFill="1" applyBorder="1" applyAlignment="1">
      <alignment vertical="center" wrapText="1"/>
    </xf>
    <xf numFmtId="189" fontId="0" fillId="12" borderId="1" xfId="0" applyNumberFormat="1" applyFill="1" applyBorder="1" applyAlignment="1">
      <alignment vertical="center"/>
    </xf>
    <xf numFmtId="0" fontId="17" fillId="12" borderId="7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wrapText="1"/>
    </xf>
    <xf numFmtId="0" fontId="17" fillId="12" borderId="1" xfId="0" applyFont="1" applyFill="1" applyBorder="1" applyAlignment="1">
      <alignment horizontal="center" wrapText="1"/>
    </xf>
    <xf numFmtId="10" fontId="1" fillId="14" borderId="1" xfId="1" applyNumberFormat="1" applyFill="1" applyBorder="1" applyAlignment="1">
      <alignment vertical="center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1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83" fontId="24" fillId="0" borderId="1" xfId="0" applyNumberFormat="1" applyFont="1" applyBorder="1" applyAlignment="1">
      <alignment horizontal="center" vertical="center"/>
    </xf>
    <xf numFmtId="0" fontId="24" fillId="0" borderId="1" xfId="11" applyFont="1" applyBorder="1" applyAlignment="1">
      <alignment horizontal="center" vertical="center"/>
    </xf>
    <xf numFmtId="179" fontId="25" fillId="13" borderId="1" xfId="0" applyNumberFormat="1" applyFont="1" applyFill="1" applyBorder="1" applyAlignment="1">
      <alignment horizontal="center" vertical="center" wrapText="1"/>
    </xf>
    <xf numFmtId="0" fontId="24" fillId="0" borderId="1" xfId="11" applyFont="1" applyBorder="1" applyAlignment="1">
      <alignment horizontal="center" vertical="center" wrapText="1"/>
    </xf>
    <xf numFmtId="186" fontId="24" fillId="0" borderId="1" xfId="11" applyNumberFormat="1" applyFont="1" applyBorder="1" applyAlignment="1">
      <alignment horizontal="center" vertical="center"/>
    </xf>
    <xf numFmtId="2" fontId="24" fillId="0" borderId="1" xfId="11" applyNumberFormat="1" applyFont="1" applyBorder="1" applyAlignment="1">
      <alignment horizontal="center" vertical="center"/>
    </xf>
    <xf numFmtId="191" fontId="24" fillId="0" borderId="1" xfId="11" applyNumberFormat="1" applyFont="1" applyBorder="1" applyAlignment="1">
      <alignment horizontal="center" vertical="center"/>
    </xf>
    <xf numFmtId="182" fontId="24" fillId="18" borderId="1" xfId="0" applyNumberFormat="1" applyFont="1" applyFill="1" applyBorder="1" applyAlignment="1">
      <alignment vertical="center"/>
    </xf>
    <xf numFmtId="2" fontId="24" fillId="17" borderId="1" xfId="0" applyNumberFormat="1" applyFont="1" applyFill="1" applyBorder="1" applyAlignment="1">
      <alignment vertical="center"/>
    </xf>
    <xf numFmtId="1" fontId="24" fillId="18" borderId="1" xfId="0" applyNumberFormat="1" applyFont="1" applyFill="1" applyBorder="1" applyAlignment="1">
      <alignment vertical="center"/>
    </xf>
    <xf numFmtId="3" fontId="24" fillId="17" borderId="1" xfId="0" applyNumberFormat="1" applyFont="1" applyFill="1" applyBorder="1" applyAlignment="1">
      <alignment vertical="center"/>
    </xf>
    <xf numFmtId="179" fontId="24" fillId="18" borderId="1" xfId="0" applyNumberFormat="1" applyFont="1" applyFill="1" applyBorder="1" applyAlignment="1">
      <alignment vertical="center"/>
    </xf>
    <xf numFmtId="0" fontId="26" fillId="0" borderId="1" xfId="8" applyFont="1" applyBorder="1" applyAlignment="1">
      <alignment horizontal="center" vertical="center"/>
    </xf>
    <xf numFmtId="10" fontId="24" fillId="0" borderId="1" xfId="0" applyNumberFormat="1" applyFont="1" applyBorder="1" applyAlignment="1">
      <alignment vertical="center" wrapText="1"/>
    </xf>
    <xf numFmtId="10" fontId="24" fillId="17" borderId="1" xfId="0" applyNumberFormat="1" applyFont="1" applyFill="1" applyBorder="1" applyAlignment="1">
      <alignment vertical="center"/>
    </xf>
    <xf numFmtId="179" fontId="24" fillId="0" borderId="1" xfId="0" applyNumberFormat="1" applyFont="1" applyBorder="1" applyAlignment="1">
      <alignment wrapText="1"/>
    </xf>
    <xf numFmtId="10" fontId="26" fillId="17" borderId="1" xfId="1" applyNumberFormat="1" applyFont="1" applyFill="1" applyBorder="1" applyAlignment="1">
      <alignment vertical="center"/>
    </xf>
    <xf numFmtId="179" fontId="25" fillId="0" borderId="1" xfId="0" applyNumberFormat="1" applyFont="1" applyBorder="1" applyAlignment="1">
      <alignment wrapText="1"/>
    </xf>
    <xf numFmtId="0" fontId="24" fillId="0" borderId="0" xfId="0" applyFont="1" applyAlignment="1">
      <alignment wrapText="1"/>
    </xf>
    <xf numFmtId="187" fontId="26" fillId="17" borderId="1" xfId="1" applyNumberFormat="1" applyFont="1" applyFill="1" applyBorder="1" applyAlignment="1">
      <alignment wrapText="1"/>
    </xf>
    <xf numFmtId="188" fontId="24" fillId="0" borderId="1" xfId="0" applyNumberFormat="1" applyFont="1" applyBorder="1" applyAlignment="1">
      <alignment vertical="center"/>
    </xf>
    <xf numFmtId="182" fontId="24" fillId="2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1" xfId="12" applyFont="1" applyBorder="1" applyAlignment="1">
      <alignment horizontal="center" vertical="center" wrapText="1"/>
    </xf>
    <xf numFmtId="0" fontId="27" fillId="0" borderId="1" xfId="19" applyFont="1" applyBorder="1" applyAlignment="1">
      <alignment horizontal="center" vertical="center"/>
    </xf>
    <xf numFmtId="179" fontId="24" fillId="0" borderId="1" xfId="0" applyNumberFormat="1" applyFont="1" applyBorder="1" applyAlignment="1">
      <alignment vertical="center" wrapText="1"/>
    </xf>
    <xf numFmtId="179" fontId="8" fillId="20" borderId="1" xfId="5" applyNumberFormat="1" applyFont="1" applyFill="1" applyBorder="1" applyAlignment="1">
      <alignment wrapText="1"/>
    </xf>
    <xf numFmtId="0" fontId="15" fillId="19" borderId="1" xfId="20" applyFill="1" applyBorder="1" applyAlignment="1">
      <alignment vertical="center"/>
    </xf>
    <xf numFmtId="179" fontId="21" fillId="13" borderId="1" xfId="22" applyNumberFormat="1" applyFont="1" applyFill="1" applyBorder="1" applyAlignment="1">
      <alignment horizontal="center" vertical="center" wrapText="1"/>
    </xf>
    <xf numFmtId="194" fontId="18" fillId="0" borderId="0" xfId="0" applyNumberFormat="1" applyFont="1" applyAlignment="1">
      <alignment wrapText="1"/>
    </xf>
    <xf numFmtId="10" fontId="1" fillId="0" borderId="0" xfId="1" applyNumberFormat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0" fillId="0" borderId="0" xfId="4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13" borderId="1" xfId="11" applyFont="1" applyFill="1" applyBorder="1" applyAlignment="1">
      <alignment horizontal="left" vertical="center" wrapText="1"/>
    </xf>
    <xf numFmtId="0" fontId="17" fillId="13" borderId="1" xfId="11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5" fillId="0" borderId="1" xfId="11" applyFont="1" applyBorder="1" applyAlignment="1">
      <alignment horizontal="left" vertical="center" wrapText="1"/>
    </xf>
    <xf numFmtId="0" fontId="16" fillId="0" borderId="1" xfId="1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top" wrapText="1"/>
    </xf>
    <xf numFmtId="0" fontId="15" fillId="0" borderId="1" xfId="11" applyFont="1" applyBorder="1" applyAlignment="1">
      <alignment horizontal="left" vertical="center"/>
    </xf>
    <xf numFmtId="0" fontId="0" fillId="3" borderId="1" xfId="0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181" fontId="12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0" fontId="15" fillId="14" borderId="1" xfId="0" applyFont="1" applyFill="1" applyBorder="1" applyAlignment="1">
      <alignment vertical="center"/>
    </xf>
    <xf numFmtId="0" fontId="1" fillId="14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184058</xdr:colOff>
      <xdr:row>8</xdr:row>
      <xdr:rowOff>402437</xdr:rowOff>
    </xdr:from>
    <xdr:to>
      <xdr:col>78</xdr:col>
      <xdr:colOff>447069</xdr:colOff>
      <xdr:row>10</xdr:row>
      <xdr:rowOff>618150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56F28D9-DF83-4641-A2B6-3A524A97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6258" y="10187787"/>
          <a:ext cx="7959211" cy="1930213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</xdr:row>
      <xdr:rowOff>0</xdr:rowOff>
    </xdr:from>
    <xdr:to>
      <xdr:col>29</xdr:col>
      <xdr:colOff>175091</xdr:colOff>
      <xdr:row>12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12</xdr:row>
      <xdr:rowOff>0</xdr:rowOff>
    </xdr:from>
    <xdr:to>
      <xdr:col>29</xdr:col>
      <xdr:colOff>168106</xdr:colOff>
      <xdr:row>12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12</xdr:row>
      <xdr:rowOff>0</xdr:rowOff>
    </xdr:from>
    <xdr:to>
      <xdr:col>29</xdr:col>
      <xdr:colOff>155704</xdr:colOff>
      <xdr:row>12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</xdr:row>
      <xdr:rowOff>0</xdr:rowOff>
    </xdr:from>
    <xdr:to>
      <xdr:col>29</xdr:col>
      <xdr:colOff>164931</xdr:colOff>
      <xdr:row>12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12</xdr:row>
      <xdr:rowOff>0</xdr:rowOff>
    </xdr:from>
    <xdr:to>
      <xdr:col>50</xdr:col>
      <xdr:colOff>449341</xdr:colOff>
      <xdr:row>12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12</xdr:row>
      <xdr:rowOff>0</xdr:rowOff>
    </xdr:from>
    <xdr:to>
      <xdr:col>50</xdr:col>
      <xdr:colOff>449976</xdr:colOff>
      <xdr:row>12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12</xdr:row>
      <xdr:rowOff>0</xdr:rowOff>
    </xdr:from>
    <xdr:to>
      <xdr:col>50</xdr:col>
      <xdr:colOff>447099</xdr:colOff>
      <xdr:row>12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12</xdr:row>
      <xdr:rowOff>0</xdr:rowOff>
    </xdr:from>
    <xdr:to>
      <xdr:col>50</xdr:col>
      <xdr:colOff>454421</xdr:colOff>
      <xdr:row>12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13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14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16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17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23"/>
  <sheetViews>
    <sheetView tabSelected="1" topLeftCell="Z1" zoomScale="95" zoomScaleNormal="95" workbookViewId="0">
      <selection activeCell="P16" sqref="P16:P18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76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76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14.25" customHeight="1" x14ac:dyDescent="0.25">
      <c r="D1" s="10"/>
      <c r="E1" s="10"/>
      <c r="F1" s="11"/>
      <c r="G1" s="12"/>
      <c r="I1" s="13" t="s">
        <v>4</v>
      </c>
      <c r="T1" s="77"/>
      <c r="U1" s="181" t="s">
        <v>5</v>
      </c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R1" s="14" t="s">
        <v>6</v>
      </c>
      <c r="AX1" s="74"/>
      <c r="AY1" s="74"/>
      <c r="AZ1" s="74"/>
      <c r="BC1" s="14" t="s">
        <v>7</v>
      </c>
    </row>
    <row r="2" spans="1:66" ht="14.25" customHeight="1" x14ac:dyDescent="0.25">
      <c r="F2" s="15" t="s">
        <v>8</v>
      </c>
      <c r="H2" s="15" t="s">
        <v>8</v>
      </c>
      <c r="I2" s="15" t="s">
        <v>8</v>
      </c>
      <c r="J2" s="15" t="s">
        <v>8</v>
      </c>
      <c r="K2" s="169" t="s">
        <v>8</v>
      </c>
      <c r="L2" s="15" t="s">
        <v>8</v>
      </c>
      <c r="M2" s="169" t="s">
        <v>8</v>
      </c>
      <c r="R2" s="15" t="s">
        <v>8</v>
      </c>
      <c r="S2" s="15"/>
      <c r="T2" s="78" t="s">
        <v>9</v>
      </c>
      <c r="U2" s="16"/>
      <c r="V2" s="16"/>
      <c r="W2" s="182" t="s">
        <v>10</v>
      </c>
      <c r="X2" s="182"/>
      <c r="Y2" s="182"/>
      <c r="Z2" s="183" t="s">
        <v>11</v>
      </c>
      <c r="AA2" s="183"/>
      <c r="AB2" s="183"/>
      <c r="AC2" s="183"/>
      <c r="AD2" s="16"/>
      <c r="AE2" s="17"/>
      <c r="AF2" s="16"/>
      <c r="AG2" s="16"/>
      <c r="AH2" s="16"/>
      <c r="AI2" s="18"/>
      <c r="AJ2" s="184" t="s">
        <v>12</v>
      </c>
      <c r="AK2" s="184"/>
      <c r="AL2" s="184"/>
      <c r="AN2" s="185" t="s">
        <v>13</v>
      </c>
      <c r="AO2" s="185"/>
      <c r="AP2" s="185"/>
      <c r="AQ2" s="185"/>
      <c r="AR2" s="185"/>
      <c r="AS2" s="185"/>
      <c r="AT2" s="185"/>
      <c r="AU2" s="185"/>
      <c r="AV2" s="186" t="s">
        <v>14</v>
      </c>
      <c r="AW2" s="186"/>
      <c r="AX2" s="186"/>
      <c r="AY2" s="186"/>
      <c r="AZ2" s="186"/>
      <c r="BA2" s="186"/>
      <c r="BB2" s="186"/>
      <c r="BC2" s="19"/>
      <c r="BD2" s="20"/>
      <c r="BE2" s="21"/>
      <c r="BF2" s="21"/>
      <c r="BG2" s="21"/>
      <c r="BH2" s="180" t="s">
        <v>5</v>
      </c>
      <c r="BI2" s="180"/>
      <c r="BJ2" s="1"/>
    </row>
    <row r="3" spans="1:66" ht="67.5" customHeight="1" x14ac:dyDescent="0.25">
      <c r="A3" s="22" t="s">
        <v>15</v>
      </c>
      <c r="B3" s="22" t="s">
        <v>16</v>
      </c>
      <c r="C3" s="23" t="s">
        <v>17</v>
      </c>
      <c r="D3" s="24" t="s">
        <v>0</v>
      </c>
      <c r="E3" s="24" t="s">
        <v>3</v>
      </c>
      <c r="F3" s="25" t="s">
        <v>18</v>
      </c>
      <c r="G3" s="23" t="s">
        <v>19</v>
      </c>
      <c r="H3" s="26" t="s">
        <v>20</v>
      </c>
      <c r="I3" s="27" t="s">
        <v>21</v>
      </c>
      <c r="J3" s="26" t="s">
        <v>22</v>
      </c>
      <c r="K3" s="27" t="s">
        <v>23</v>
      </c>
      <c r="L3" s="26" t="s">
        <v>24</v>
      </c>
      <c r="M3" s="26" t="s">
        <v>25</v>
      </c>
      <c r="N3" s="23" t="s">
        <v>26</v>
      </c>
      <c r="O3" s="23" t="s">
        <v>27</v>
      </c>
      <c r="P3" s="23" t="s">
        <v>28</v>
      </c>
      <c r="Q3" s="23" t="s">
        <v>29</v>
      </c>
      <c r="R3" s="27" t="s">
        <v>30</v>
      </c>
      <c r="S3" s="122"/>
      <c r="T3" s="79" t="s">
        <v>31</v>
      </c>
      <c r="U3" s="28" t="s">
        <v>32</v>
      </c>
      <c r="V3" s="22" t="s">
        <v>33</v>
      </c>
      <c r="W3" s="29" t="s">
        <v>34</v>
      </c>
      <c r="X3" s="29" t="s">
        <v>35</v>
      </c>
      <c r="Y3" s="29" t="s">
        <v>36</v>
      </c>
      <c r="Z3" s="29" t="s">
        <v>37</v>
      </c>
      <c r="AA3" s="29" t="s">
        <v>38</v>
      </c>
      <c r="AB3" s="29" t="s">
        <v>39</v>
      </c>
      <c r="AC3" s="30" t="s">
        <v>40</v>
      </c>
      <c r="AD3" s="31" t="s">
        <v>41</v>
      </c>
      <c r="AE3" s="32" t="s">
        <v>42</v>
      </c>
      <c r="AF3" s="33" t="s">
        <v>43</v>
      </c>
      <c r="AG3" s="34" t="s">
        <v>44</v>
      </c>
      <c r="AH3" s="22" t="s">
        <v>45</v>
      </c>
      <c r="AI3" s="35" t="s">
        <v>46</v>
      </c>
      <c r="AJ3" s="22" t="s">
        <v>47</v>
      </c>
      <c r="AK3" s="36" t="s">
        <v>103</v>
      </c>
      <c r="AL3" s="37" t="s">
        <v>48</v>
      </c>
      <c r="AM3" s="35" t="s">
        <v>49</v>
      </c>
      <c r="AN3" s="36" t="s">
        <v>50</v>
      </c>
      <c r="AO3" s="35" t="s">
        <v>51</v>
      </c>
      <c r="AP3" s="36" t="s">
        <v>52</v>
      </c>
      <c r="AQ3" s="35" t="s">
        <v>53</v>
      </c>
      <c r="AR3" s="38" t="s">
        <v>54</v>
      </c>
      <c r="AS3" s="36" t="s">
        <v>55</v>
      </c>
      <c r="AT3" s="35" t="s">
        <v>56</v>
      </c>
      <c r="AU3" s="35" t="s">
        <v>57</v>
      </c>
      <c r="AV3" s="39" t="s">
        <v>58</v>
      </c>
      <c r="AW3" s="40" t="s">
        <v>59</v>
      </c>
      <c r="AX3" s="162" t="s">
        <v>105</v>
      </c>
      <c r="AY3" s="41" t="s">
        <v>117</v>
      </c>
      <c r="AZ3" s="116" t="s">
        <v>116</v>
      </c>
      <c r="BA3" s="42" t="s">
        <v>60</v>
      </c>
      <c r="BB3" s="40" t="s">
        <v>61</v>
      </c>
      <c r="BC3" s="43" t="s">
        <v>62</v>
      </c>
      <c r="BD3" s="22" t="s">
        <v>135</v>
      </c>
      <c r="BE3" s="35" t="s">
        <v>63</v>
      </c>
      <c r="BF3" s="35" t="s">
        <v>64</v>
      </c>
      <c r="BG3" s="35" t="s">
        <v>65</v>
      </c>
      <c r="BH3" s="44" t="s">
        <v>66</v>
      </c>
      <c r="BI3" s="45" t="s">
        <v>67</v>
      </c>
      <c r="BJ3" s="45" t="s">
        <v>68</v>
      </c>
      <c r="BK3" s="46" t="s">
        <v>69</v>
      </c>
      <c r="BL3" s="46" t="s">
        <v>70</v>
      </c>
      <c r="BM3" s="46" t="s">
        <v>71</v>
      </c>
    </row>
    <row r="4" spans="1:66" s="71" customFormat="1" ht="67.5" customHeight="1" x14ac:dyDescent="0.25">
      <c r="A4" s="54">
        <v>1</v>
      </c>
      <c r="B4" s="55"/>
      <c r="C4" s="55"/>
      <c r="D4" s="168" t="s">
        <v>102</v>
      </c>
      <c r="E4" s="55" t="s">
        <v>72</v>
      </c>
      <c r="F4" s="55" t="s">
        <v>1</v>
      </c>
      <c r="G4" s="73" t="s">
        <v>73</v>
      </c>
      <c r="H4" s="167" t="s">
        <v>136</v>
      </c>
      <c r="I4" s="57" t="s">
        <v>74</v>
      </c>
      <c r="J4" s="72" t="s">
        <v>137</v>
      </c>
      <c r="K4" s="56" t="s">
        <v>75</v>
      </c>
      <c r="L4" s="179" t="s">
        <v>159</v>
      </c>
      <c r="M4" s="72" t="s">
        <v>76</v>
      </c>
      <c r="N4" s="55"/>
      <c r="O4" s="57"/>
      <c r="P4" s="187" t="s">
        <v>162</v>
      </c>
      <c r="Q4" s="58"/>
      <c r="R4" s="55" t="s">
        <v>77</v>
      </c>
      <c r="S4" s="123"/>
      <c r="T4" s="80">
        <v>3.75</v>
      </c>
      <c r="U4" s="55" t="s">
        <v>78</v>
      </c>
      <c r="V4" s="55" t="s">
        <v>79</v>
      </c>
      <c r="W4" s="59">
        <v>56</v>
      </c>
      <c r="X4" s="59">
        <v>33</v>
      </c>
      <c r="Y4" s="59">
        <v>46</v>
      </c>
      <c r="Z4" s="59"/>
      <c r="AA4" s="59"/>
      <c r="AB4" s="59"/>
      <c r="AC4" s="60">
        <v>21</v>
      </c>
      <c r="AD4" s="61">
        <v>24</v>
      </c>
      <c r="AE4" s="62">
        <f t="shared" ref="AE4:AE18" si="0">IF(OR(W4="",X4="",Y4="",AD4=""),"",W4*X4*Y4/1000000/AD4)</f>
        <v>3.542E-3</v>
      </c>
      <c r="AF4" s="60">
        <v>63</v>
      </c>
      <c r="AG4" s="63">
        <f t="shared" ref="AG4:AG18" si="1">IF(OR(W4="",X4="",Y4="",AD4=""),"",AF4*1000000*AD4/(W4*X4*Y4))</f>
        <v>17786.561264822136</v>
      </c>
      <c r="AH4" s="64">
        <v>3000</v>
      </c>
      <c r="AI4" s="65">
        <f>AH4/AG4</f>
        <v>0.16866666666666666</v>
      </c>
      <c r="AJ4" s="66" t="s">
        <v>80</v>
      </c>
      <c r="AK4" s="67">
        <f>11.3%+7.5%+15%</f>
        <v>0.33799999999999997</v>
      </c>
      <c r="AL4" s="65">
        <f t="shared" ref="AL4:AL18" si="2">IF(ISERROR(T4*AK4),"",T4*AK4)</f>
        <v>1.2674999999999998</v>
      </c>
      <c r="AM4" s="65">
        <f t="shared" ref="AM4:AM18" si="3">IF(ISERROR(T4+AI4+AL4),"",T4+AI4+AL4)</f>
        <v>5.1861666666666668</v>
      </c>
      <c r="AN4" s="68">
        <v>0.01</v>
      </c>
      <c r="AO4" s="65">
        <f t="shared" ref="AO4:AO12" si="4">IF(ISERROR(AX4*AN4),"",AX4*AN4)</f>
        <v>7.6499999999999999E-2</v>
      </c>
      <c r="AP4" s="68">
        <v>0.05</v>
      </c>
      <c r="AQ4" s="65">
        <f t="shared" ref="AQ4:AQ12" si="5">IF(ISERROR(AX4*AP4),"",AX4*AP4)</f>
        <v>0.38250000000000006</v>
      </c>
      <c r="AR4" s="69"/>
      <c r="AS4" s="68">
        <v>0</v>
      </c>
      <c r="AT4" s="65">
        <f t="shared" ref="AT4:AT12" si="6">IF(ISERROR(AX4*AS4),"",AX4*AS4)</f>
        <v>0</v>
      </c>
      <c r="AU4" s="65">
        <f t="shared" ref="AU4:AU18" si="7">IF(ISERROR(AO4+AQ4+AT4),"",AO4+AQ4+AT4)</f>
        <v>0.45900000000000007</v>
      </c>
      <c r="AV4" s="65">
        <f t="shared" ref="AV4:AV18" si="8">IF(ISERROR(AM4+AU4),"",AM4+AU4)</f>
        <v>5.6451666666666664</v>
      </c>
      <c r="AW4" s="81">
        <f t="shared" ref="AW4:AW12" si="9">IF(ISERROR((AX4-AV4)/AX4),"",(AX4-AV4)/AX4)</f>
        <v>0.2620697167755992</v>
      </c>
      <c r="AX4" s="75">
        <v>7.65</v>
      </c>
      <c r="AY4" s="114"/>
      <c r="AZ4" s="117">
        <v>7.65</v>
      </c>
      <c r="BA4" s="70">
        <v>16.75</v>
      </c>
      <c r="BB4" s="110">
        <f t="shared" ref="BB4:BB12" si="10">IF(ISERROR((BA4-AX4)/BA4),"",(BA4-AX4)/BA4)</f>
        <v>0.54328358208955219</v>
      </c>
      <c r="BC4" s="55"/>
      <c r="BD4" s="163">
        <v>1152</v>
      </c>
      <c r="BE4" s="65">
        <f t="shared" ref="BE4:BE9" si="11">IF(ISERROR(AV4*BD4),"",AV4*BD4)</f>
        <v>6503.232</v>
      </c>
      <c r="BF4" s="70">
        <f t="shared" ref="BF4:BF12" si="12">IF(ISERROR(AX4*BD4),"",AX4*BD4)</f>
        <v>8812.8000000000011</v>
      </c>
      <c r="BG4" s="70">
        <f t="shared" ref="BG4:BG18" si="13">IF(ISERROR(BA4*BD4),"",BA4*BD4)</f>
        <v>19296</v>
      </c>
      <c r="BH4" s="62">
        <f t="shared" ref="BH4:BH12" si="14">IF(W4="","",W4*X4*Y4/1000000/AD4*BD4)</f>
        <v>4.0803840000000005</v>
      </c>
      <c r="BI4" s="55">
        <v>25</v>
      </c>
      <c r="BK4" s="71" t="s">
        <v>81</v>
      </c>
      <c r="BL4" s="71" t="s">
        <v>2</v>
      </c>
      <c r="BM4" s="71" t="s">
        <v>82</v>
      </c>
      <c r="BN4" s="82" t="s">
        <v>107</v>
      </c>
    </row>
    <row r="5" spans="1:66" s="71" customFormat="1" ht="67.5" customHeight="1" x14ac:dyDescent="0.25">
      <c r="A5" s="54">
        <v>2</v>
      </c>
      <c r="B5" s="55"/>
      <c r="C5" s="55"/>
      <c r="D5" s="168" t="s">
        <v>102</v>
      </c>
      <c r="E5" s="55" t="s">
        <v>72</v>
      </c>
      <c r="F5" s="55" t="s">
        <v>1</v>
      </c>
      <c r="G5" s="73" t="s">
        <v>83</v>
      </c>
      <c r="H5" s="167" t="s">
        <v>136</v>
      </c>
      <c r="I5" s="57" t="s">
        <v>74</v>
      </c>
      <c r="J5" s="72" t="s">
        <v>137</v>
      </c>
      <c r="K5" s="56" t="s">
        <v>75</v>
      </c>
      <c r="L5" s="179" t="s">
        <v>159</v>
      </c>
      <c r="M5" s="72" t="s">
        <v>84</v>
      </c>
      <c r="N5" s="55"/>
      <c r="O5" s="57"/>
      <c r="P5" s="187" t="s">
        <v>163</v>
      </c>
      <c r="Q5" s="58"/>
      <c r="R5" s="55" t="s">
        <v>77</v>
      </c>
      <c r="S5" s="123"/>
      <c r="T5" s="80">
        <v>3.75</v>
      </c>
      <c r="U5" s="55" t="s">
        <v>78</v>
      </c>
      <c r="V5" s="55" t="s">
        <v>79</v>
      </c>
      <c r="W5" s="59">
        <v>56</v>
      </c>
      <c r="X5" s="59">
        <v>33</v>
      </c>
      <c r="Y5" s="59">
        <v>46</v>
      </c>
      <c r="Z5" s="59"/>
      <c r="AA5" s="59"/>
      <c r="AB5" s="59"/>
      <c r="AC5" s="60">
        <v>21</v>
      </c>
      <c r="AD5" s="61">
        <v>24</v>
      </c>
      <c r="AE5" s="62">
        <f t="shared" si="0"/>
        <v>3.542E-3</v>
      </c>
      <c r="AF5" s="60">
        <v>63</v>
      </c>
      <c r="AG5" s="63">
        <f t="shared" si="1"/>
        <v>17786.561264822136</v>
      </c>
      <c r="AH5" s="64">
        <v>3000</v>
      </c>
      <c r="AI5" s="65">
        <f t="shared" ref="AI5:AI18" si="15">AH5/AG5</f>
        <v>0.16866666666666666</v>
      </c>
      <c r="AJ5" s="66" t="s">
        <v>80</v>
      </c>
      <c r="AK5" s="67">
        <f t="shared" ref="AK5:AK6" si="16">11.3%+7.5%+15%</f>
        <v>0.33799999999999997</v>
      </c>
      <c r="AL5" s="65">
        <f t="shared" si="2"/>
        <v>1.2674999999999998</v>
      </c>
      <c r="AM5" s="65">
        <f t="shared" si="3"/>
        <v>5.1861666666666668</v>
      </c>
      <c r="AN5" s="68">
        <v>0.01</v>
      </c>
      <c r="AO5" s="65">
        <f t="shared" si="4"/>
        <v>7.6499999999999999E-2</v>
      </c>
      <c r="AP5" s="68">
        <v>0.05</v>
      </c>
      <c r="AQ5" s="65">
        <f t="shared" si="5"/>
        <v>0.38250000000000006</v>
      </c>
      <c r="AR5" s="69"/>
      <c r="AS5" s="68">
        <v>0</v>
      </c>
      <c r="AT5" s="65">
        <f t="shared" si="6"/>
        <v>0</v>
      </c>
      <c r="AU5" s="65">
        <f t="shared" si="7"/>
        <v>0.45900000000000007</v>
      </c>
      <c r="AV5" s="65">
        <f t="shared" si="8"/>
        <v>5.6451666666666664</v>
      </c>
      <c r="AW5" s="81">
        <f t="shared" si="9"/>
        <v>0.2620697167755992</v>
      </c>
      <c r="AX5" s="75">
        <v>7.65</v>
      </c>
      <c r="AY5" s="114"/>
      <c r="AZ5" s="117">
        <v>7.65</v>
      </c>
      <c r="BA5" s="70">
        <v>16.75</v>
      </c>
      <c r="BB5" s="110">
        <f t="shared" si="10"/>
        <v>0.54328358208955219</v>
      </c>
      <c r="BC5" s="55"/>
      <c r="BD5" s="163">
        <v>1272</v>
      </c>
      <c r="BE5" s="65">
        <f t="shared" si="11"/>
        <v>7180.652</v>
      </c>
      <c r="BF5" s="70">
        <f t="shared" si="12"/>
        <v>9730.8000000000011</v>
      </c>
      <c r="BG5" s="70">
        <f t="shared" si="13"/>
        <v>21306</v>
      </c>
      <c r="BH5" s="62">
        <f t="shared" si="14"/>
        <v>4.5054239999999997</v>
      </c>
      <c r="BI5" s="55">
        <v>25</v>
      </c>
      <c r="BK5" s="71" t="s">
        <v>81</v>
      </c>
      <c r="BL5" s="71" t="s">
        <v>2</v>
      </c>
      <c r="BM5" s="71" t="s">
        <v>82</v>
      </c>
    </row>
    <row r="6" spans="1:66" s="71" customFormat="1" ht="67.5" customHeight="1" x14ac:dyDescent="0.2">
      <c r="A6" s="54">
        <v>15</v>
      </c>
      <c r="B6" s="55"/>
      <c r="C6" s="55"/>
      <c r="D6" s="55" t="s">
        <v>85</v>
      </c>
      <c r="E6" s="55" t="s">
        <v>101</v>
      </c>
      <c r="F6" s="55" t="s">
        <v>1</v>
      </c>
      <c r="G6" s="73" t="s">
        <v>86</v>
      </c>
      <c r="H6" s="167" t="s">
        <v>136</v>
      </c>
      <c r="I6" s="57" t="s">
        <v>87</v>
      </c>
      <c r="J6" s="72" t="s">
        <v>138</v>
      </c>
      <c r="K6" s="56" t="s">
        <v>88</v>
      </c>
      <c r="L6" s="179" t="s">
        <v>159</v>
      </c>
      <c r="M6" s="72" t="s">
        <v>89</v>
      </c>
      <c r="N6" s="55"/>
      <c r="O6" s="57"/>
      <c r="P6" s="188" t="s">
        <v>164</v>
      </c>
      <c r="Q6" s="58"/>
      <c r="R6" s="55" t="s">
        <v>77</v>
      </c>
      <c r="S6" s="123"/>
      <c r="T6" s="80">
        <v>1.95</v>
      </c>
      <c r="U6" s="55" t="s">
        <v>78</v>
      </c>
      <c r="V6" s="55" t="s">
        <v>90</v>
      </c>
      <c r="W6" s="59">
        <v>41</v>
      </c>
      <c r="X6" s="59">
        <v>29.5</v>
      </c>
      <c r="Y6" s="59">
        <v>40.5</v>
      </c>
      <c r="Z6" s="59"/>
      <c r="AA6" s="59"/>
      <c r="AB6" s="59"/>
      <c r="AC6" s="60">
        <v>10</v>
      </c>
      <c r="AD6" s="61">
        <v>24</v>
      </c>
      <c r="AE6" s="62">
        <f t="shared" si="0"/>
        <v>2.0410312499999999E-3</v>
      </c>
      <c r="AF6" s="60">
        <v>63</v>
      </c>
      <c r="AG6" s="63">
        <f t="shared" si="1"/>
        <v>30866.749345459557</v>
      </c>
      <c r="AH6" s="64">
        <v>3000</v>
      </c>
      <c r="AI6" s="65">
        <f t="shared" si="15"/>
        <v>9.7191964285714277E-2</v>
      </c>
      <c r="AJ6" s="66" t="s">
        <v>80</v>
      </c>
      <c r="AK6" s="67">
        <f t="shared" si="16"/>
        <v>0.33799999999999997</v>
      </c>
      <c r="AL6" s="65">
        <f t="shared" si="2"/>
        <v>0.65909999999999991</v>
      </c>
      <c r="AM6" s="65">
        <f t="shared" si="3"/>
        <v>2.7062919642857142</v>
      </c>
      <c r="AN6" s="68">
        <v>0.01</v>
      </c>
      <c r="AO6" s="65">
        <f t="shared" si="4"/>
        <v>3.95E-2</v>
      </c>
      <c r="AP6" s="68">
        <v>0.06</v>
      </c>
      <c r="AQ6" s="65">
        <f t="shared" si="5"/>
        <v>0.23699999999999999</v>
      </c>
      <c r="AR6" s="69"/>
      <c r="AS6" s="68">
        <v>0</v>
      </c>
      <c r="AT6" s="65">
        <f t="shared" si="6"/>
        <v>0</v>
      </c>
      <c r="AU6" s="65">
        <f t="shared" si="7"/>
        <v>0.27649999999999997</v>
      </c>
      <c r="AV6" s="65">
        <f t="shared" si="8"/>
        <v>2.9827919642857141</v>
      </c>
      <c r="AW6" s="81">
        <f t="shared" si="9"/>
        <v>0.24486279385171797</v>
      </c>
      <c r="AX6" s="75">
        <v>3.95</v>
      </c>
      <c r="AY6" s="114"/>
      <c r="AZ6" s="117">
        <v>3.95</v>
      </c>
      <c r="BA6" s="70">
        <v>9</v>
      </c>
      <c r="BB6" s="110">
        <f t="shared" si="10"/>
        <v>0.56111111111111112</v>
      </c>
      <c r="BC6" s="55"/>
      <c r="BD6" s="163">
        <v>1000</v>
      </c>
      <c r="BE6" s="65">
        <f t="shared" si="11"/>
        <v>2982.7919642857141</v>
      </c>
      <c r="BF6" s="70">
        <f t="shared" si="12"/>
        <v>3950</v>
      </c>
      <c r="BG6" s="70">
        <f t="shared" si="13"/>
        <v>9000</v>
      </c>
      <c r="BH6" s="62">
        <f t="shared" si="14"/>
        <v>2.0410312500000001</v>
      </c>
      <c r="BI6" s="55">
        <v>9</v>
      </c>
      <c r="BK6" s="71" t="s">
        <v>81</v>
      </c>
      <c r="BL6" s="71" t="s">
        <v>2</v>
      </c>
      <c r="BM6" s="71" t="s">
        <v>91</v>
      </c>
      <c r="BN6" s="82" t="s">
        <v>106</v>
      </c>
    </row>
    <row r="7" spans="1:66" s="71" customFormat="1" ht="67.5" customHeight="1" x14ac:dyDescent="0.2">
      <c r="A7" s="54">
        <v>16</v>
      </c>
      <c r="B7" s="55"/>
      <c r="C7" s="55"/>
      <c r="D7" s="55" t="s">
        <v>85</v>
      </c>
      <c r="E7" s="55" t="s">
        <v>101</v>
      </c>
      <c r="F7" s="55" t="s">
        <v>1</v>
      </c>
      <c r="G7" s="73" t="s">
        <v>92</v>
      </c>
      <c r="H7" s="167" t="s">
        <v>140</v>
      </c>
      <c r="I7" s="57" t="s">
        <v>93</v>
      </c>
      <c r="J7" s="72" t="s">
        <v>139</v>
      </c>
      <c r="K7" s="56" t="s">
        <v>94</v>
      </c>
      <c r="L7" s="179" t="s">
        <v>159</v>
      </c>
      <c r="M7" s="72" t="s">
        <v>95</v>
      </c>
      <c r="N7" s="55"/>
      <c r="O7" s="57"/>
      <c r="P7" s="188" t="s">
        <v>165</v>
      </c>
      <c r="Q7" s="58"/>
      <c r="R7" s="55" t="s">
        <v>77</v>
      </c>
      <c r="S7" s="123"/>
      <c r="T7" s="80">
        <v>1.35</v>
      </c>
      <c r="U7" s="55" t="s">
        <v>78</v>
      </c>
      <c r="V7" s="55" t="s">
        <v>90</v>
      </c>
      <c r="W7" s="59">
        <v>41</v>
      </c>
      <c r="X7" s="59">
        <v>29.5</v>
      </c>
      <c r="Y7" s="59">
        <v>40.5</v>
      </c>
      <c r="Z7" s="59"/>
      <c r="AA7" s="59"/>
      <c r="AB7" s="59"/>
      <c r="AC7" s="60">
        <v>15.5</v>
      </c>
      <c r="AD7" s="61">
        <v>24</v>
      </c>
      <c r="AE7" s="62">
        <f t="shared" si="0"/>
        <v>2.0410312499999999E-3</v>
      </c>
      <c r="AF7" s="60">
        <v>63</v>
      </c>
      <c r="AG7" s="63">
        <f t="shared" si="1"/>
        <v>30866.749345459557</v>
      </c>
      <c r="AH7" s="64">
        <v>3000</v>
      </c>
      <c r="AI7" s="65">
        <f t="shared" si="15"/>
        <v>9.7191964285714277E-2</v>
      </c>
      <c r="AJ7" s="66" t="s">
        <v>104</v>
      </c>
      <c r="AK7" s="67">
        <f>3.3%+15%</f>
        <v>0.183</v>
      </c>
      <c r="AL7" s="65">
        <f t="shared" si="2"/>
        <v>0.24705000000000002</v>
      </c>
      <c r="AM7" s="65">
        <f t="shared" si="3"/>
        <v>1.6942419642857143</v>
      </c>
      <c r="AN7" s="68">
        <v>0.01</v>
      </c>
      <c r="AO7" s="65">
        <f t="shared" si="4"/>
        <v>2.5499999999999998E-2</v>
      </c>
      <c r="AP7" s="68">
        <v>0.06</v>
      </c>
      <c r="AQ7" s="65">
        <f t="shared" si="5"/>
        <v>0.153</v>
      </c>
      <c r="AR7" s="69"/>
      <c r="AS7" s="68">
        <v>0</v>
      </c>
      <c r="AT7" s="65">
        <f t="shared" si="6"/>
        <v>0</v>
      </c>
      <c r="AU7" s="65">
        <f t="shared" si="7"/>
        <v>0.17849999999999999</v>
      </c>
      <c r="AV7" s="65">
        <f t="shared" si="8"/>
        <v>1.8727419642857144</v>
      </c>
      <c r="AW7" s="81">
        <f t="shared" si="9"/>
        <v>0.26559138655462178</v>
      </c>
      <c r="AX7" s="75">
        <v>2.5499999999999998</v>
      </c>
      <c r="AY7" s="114"/>
      <c r="AZ7" s="117">
        <v>2.5499999999999998</v>
      </c>
      <c r="BA7" s="70">
        <v>6</v>
      </c>
      <c r="BB7" s="110">
        <f t="shared" si="10"/>
        <v>0.57500000000000007</v>
      </c>
      <c r="BC7" s="55"/>
      <c r="BD7" s="163">
        <v>2172</v>
      </c>
      <c r="BE7" s="65">
        <f t="shared" si="11"/>
        <v>4067.5955464285717</v>
      </c>
      <c r="BF7" s="70">
        <f t="shared" si="12"/>
        <v>5538.5999999999995</v>
      </c>
      <c r="BG7" s="70">
        <f t="shared" si="13"/>
        <v>13032</v>
      </c>
      <c r="BH7" s="62">
        <f t="shared" si="14"/>
        <v>4.433119875</v>
      </c>
      <c r="BI7" s="55">
        <v>15</v>
      </c>
      <c r="BK7" s="71" t="s">
        <v>81</v>
      </c>
      <c r="BL7" s="71" t="s">
        <v>2</v>
      </c>
      <c r="BM7" s="71" t="s">
        <v>91</v>
      </c>
      <c r="BN7" s="82" t="s">
        <v>108</v>
      </c>
    </row>
    <row r="8" spans="1:66" s="71" customFormat="1" ht="67.5" customHeight="1" x14ac:dyDescent="0.25">
      <c r="A8" s="54">
        <v>17</v>
      </c>
      <c r="B8" s="55"/>
      <c r="C8" s="55"/>
      <c r="D8" s="168" t="s">
        <v>102</v>
      </c>
      <c r="E8" s="55" t="s">
        <v>72</v>
      </c>
      <c r="F8" s="55" t="s">
        <v>1</v>
      </c>
      <c r="G8" s="73" t="s">
        <v>92</v>
      </c>
      <c r="H8" s="167" t="s">
        <v>140</v>
      </c>
      <c r="I8" s="57" t="s">
        <v>93</v>
      </c>
      <c r="J8" s="72" t="s">
        <v>141</v>
      </c>
      <c r="K8" s="56" t="s">
        <v>94</v>
      </c>
      <c r="L8" s="179" t="s">
        <v>159</v>
      </c>
      <c r="M8" s="72" t="s">
        <v>95</v>
      </c>
      <c r="N8" s="55"/>
      <c r="O8" s="57"/>
      <c r="P8" s="187" t="s">
        <v>166</v>
      </c>
      <c r="Q8" s="58"/>
      <c r="R8" s="55" t="s">
        <v>77</v>
      </c>
      <c r="S8" s="123"/>
      <c r="T8" s="80">
        <v>1.22</v>
      </c>
      <c r="U8" s="55" t="s">
        <v>78</v>
      </c>
      <c r="V8" s="55" t="s">
        <v>90</v>
      </c>
      <c r="W8" s="59">
        <v>41</v>
      </c>
      <c r="X8" s="59">
        <v>29.5</v>
      </c>
      <c r="Y8" s="59">
        <v>40.5</v>
      </c>
      <c r="Z8" s="59"/>
      <c r="AA8" s="59"/>
      <c r="AB8" s="59"/>
      <c r="AC8" s="60">
        <v>10</v>
      </c>
      <c r="AD8" s="61">
        <v>24</v>
      </c>
      <c r="AE8" s="62">
        <f t="shared" si="0"/>
        <v>2.0410312499999999E-3</v>
      </c>
      <c r="AF8" s="60">
        <v>63</v>
      </c>
      <c r="AG8" s="63">
        <f t="shared" si="1"/>
        <v>30866.749345459557</v>
      </c>
      <c r="AH8" s="64">
        <v>3000</v>
      </c>
      <c r="AI8" s="65">
        <f t="shared" si="15"/>
        <v>9.7191964285714277E-2</v>
      </c>
      <c r="AJ8" s="66" t="s">
        <v>104</v>
      </c>
      <c r="AK8" s="67">
        <f>3.3%+15%</f>
        <v>0.183</v>
      </c>
      <c r="AL8" s="65">
        <f t="shared" si="2"/>
        <v>0.22325999999999999</v>
      </c>
      <c r="AM8" s="65">
        <f t="shared" si="3"/>
        <v>1.5404519642857142</v>
      </c>
      <c r="AN8" s="68">
        <v>0.01</v>
      </c>
      <c r="AO8" s="65">
        <f t="shared" si="4"/>
        <v>2.5499999999999998E-2</v>
      </c>
      <c r="AP8" s="68">
        <v>0.05</v>
      </c>
      <c r="AQ8" s="65">
        <f t="shared" si="5"/>
        <v>0.1275</v>
      </c>
      <c r="AR8" s="69"/>
      <c r="AS8" s="68">
        <v>0</v>
      </c>
      <c r="AT8" s="65">
        <f t="shared" si="6"/>
        <v>0</v>
      </c>
      <c r="AU8" s="65">
        <f t="shared" si="7"/>
        <v>0.153</v>
      </c>
      <c r="AV8" s="65">
        <f t="shared" si="8"/>
        <v>1.6934519642857142</v>
      </c>
      <c r="AW8" s="81">
        <f t="shared" si="9"/>
        <v>0.33590119047619044</v>
      </c>
      <c r="AX8" s="75">
        <v>2.5499999999999998</v>
      </c>
      <c r="AY8" s="114"/>
      <c r="AZ8" s="117">
        <v>2.5499999999999998</v>
      </c>
      <c r="BA8" s="70">
        <v>5.5</v>
      </c>
      <c r="BB8" s="110">
        <f t="shared" si="10"/>
        <v>0.53636363636363638</v>
      </c>
      <c r="BC8" s="55"/>
      <c r="BD8" s="163">
        <v>2292</v>
      </c>
      <c r="BE8" s="65">
        <f t="shared" si="11"/>
        <v>3881.3919021428569</v>
      </c>
      <c r="BF8" s="70">
        <f t="shared" si="12"/>
        <v>5844.5999999999995</v>
      </c>
      <c r="BG8" s="70">
        <f t="shared" si="13"/>
        <v>12606</v>
      </c>
      <c r="BH8" s="62">
        <f t="shared" si="14"/>
        <v>4.6780436249999999</v>
      </c>
      <c r="BI8" s="55">
        <v>15</v>
      </c>
      <c r="BK8" s="71" t="s">
        <v>81</v>
      </c>
      <c r="BL8" s="71" t="s">
        <v>2</v>
      </c>
      <c r="BM8" s="71" t="s">
        <v>91</v>
      </c>
    </row>
    <row r="9" spans="1:66" s="71" customFormat="1" ht="67.5" customHeight="1" x14ac:dyDescent="0.25">
      <c r="A9" s="83">
        <v>18</v>
      </c>
      <c r="B9" s="84"/>
      <c r="C9" s="84"/>
      <c r="D9" s="168" t="s">
        <v>102</v>
      </c>
      <c r="E9" s="55" t="s">
        <v>72</v>
      </c>
      <c r="F9" s="84" t="s">
        <v>1</v>
      </c>
      <c r="G9" s="85" t="s">
        <v>96</v>
      </c>
      <c r="H9" s="167" t="s">
        <v>140</v>
      </c>
      <c r="I9" s="86" t="s">
        <v>97</v>
      </c>
      <c r="J9" s="87" t="s">
        <v>142</v>
      </c>
      <c r="K9" s="88" t="s">
        <v>98</v>
      </c>
      <c r="L9" s="179" t="s">
        <v>159</v>
      </c>
      <c r="M9" s="87" t="s">
        <v>99</v>
      </c>
      <c r="N9" s="84"/>
      <c r="O9" s="86"/>
      <c r="P9" s="187" t="s">
        <v>167</v>
      </c>
      <c r="Q9" s="89"/>
      <c r="R9" s="84" t="s">
        <v>77</v>
      </c>
      <c r="S9" s="126" t="s">
        <v>118</v>
      </c>
      <c r="T9" s="90">
        <v>1.35</v>
      </c>
      <c r="U9" s="84" t="s">
        <v>78</v>
      </c>
      <c r="V9" s="84" t="s">
        <v>90</v>
      </c>
      <c r="W9" s="91">
        <v>41</v>
      </c>
      <c r="X9" s="91">
        <v>29.5</v>
      </c>
      <c r="Y9" s="91">
        <v>40.5</v>
      </c>
      <c r="Z9" s="91"/>
      <c r="AA9" s="91"/>
      <c r="AB9" s="91"/>
      <c r="AC9" s="92">
        <v>15.5</v>
      </c>
      <c r="AD9" s="93">
        <v>24</v>
      </c>
      <c r="AE9" s="94">
        <f t="shared" si="0"/>
        <v>2.0410312499999999E-3</v>
      </c>
      <c r="AF9" s="92">
        <v>63</v>
      </c>
      <c r="AG9" s="95">
        <f t="shared" si="1"/>
        <v>30866.749345459557</v>
      </c>
      <c r="AH9" s="96">
        <v>3000</v>
      </c>
      <c r="AI9" s="97">
        <f t="shared" si="15"/>
        <v>9.7191964285714277E-2</v>
      </c>
      <c r="AJ9" s="98" t="s">
        <v>104</v>
      </c>
      <c r="AK9" s="99">
        <f>3.3%+15%</f>
        <v>0.183</v>
      </c>
      <c r="AL9" s="97">
        <f t="shared" si="2"/>
        <v>0.24705000000000002</v>
      </c>
      <c r="AM9" s="97">
        <f t="shared" si="3"/>
        <v>1.6942419642857143</v>
      </c>
      <c r="AN9" s="100">
        <v>0.01</v>
      </c>
      <c r="AO9" s="97">
        <f t="shared" si="4"/>
        <v>2.5499999999999998E-2</v>
      </c>
      <c r="AP9" s="100">
        <v>0.05</v>
      </c>
      <c r="AQ9" s="97">
        <f t="shared" si="5"/>
        <v>0.1275</v>
      </c>
      <c r="AR9" s="101"/>
      <c r="AS9" s="100">
        <v>0</v>
      </c>
      <c r="AT9" s="97">
        <f t="shared" si="6"/>
        <v>0</v>
      </c>
      <c r="AU9" s="97">
        <f t="shared" si="7"/>
        <v>0.153</v>
      </c>
      <c r="AV9" s="97">
        <f t="shared" si="8"/>
        <v>1.8472419642857143</v>
      </c>
      <c r="AW9" s="102">
        <f t="shared" si="9"/>
        <v>0.27559138655462179</v>
      </c>
      <c r="AX9" s="103">
        <v>2.5499999999999998</v>
      </c>
      <c r="AY9" s="115"/>
      <c r="AZ9" s="118">
        <v>2.5499999999999998</v>
      </c>
      <c r="BA9" s="104">
        <v>6</v>
      </c>
      <c r="BB9" s="109">
        <f t="shared" si="10"/>
        <v>0.57500000000000007</v>
      </c>
      <c r="BC9" s="84"/>
      <c r="BD9" s="163">
        <v>2292</v>
      </c>
      <c r="BE9" s="97">
        <f t="shared" si="11"/>
        <v>4233.8785821428573</v>
      </c>
      <c r="BF9" s="104">
        <f t="shared" si="12"/>
        <v>5844.5999999999995</v>
      </c>
      <c r="BG9" s="104">
        <f t="shared" si="13"/>
        <v>13752</v>
      </c>
      <c r="BH9" s="94">
        <f t="shared" si="14"/>
        <v>4.6780436249999999</v>
      </c>
      <c r="BI9" s="84">
        <v>15</v>
      </c>
      <c r="BK9" s="71" t="s">
        <v>81</v>
      </c>
      <c r="BL9" s="71" t="s">
        <v>2</v>
      </c>
      <c r="BM9" s="71" t="s">
        <v>91</v>
      </c>
    </row>
    <row r="10" spans="1:66" ht="67.5" customHeight="1" x14ac:dyDescent="0.25">
      <c r="A10" s="105"/>
      <c r="B10" s="106"/>
      <c r="C10" s="106"/>
      <c r="D10" s="47" t="s">
        <v>109</v>
      </c>
      <c r="E10" s="55" t="s">
        <v>101</v>
      </c>
      <c r="F10" s="84" t="s">
        <v>1</v>
      </c>
      <c r="G10" s="47" t="s">
        <v>110</v>
      </c>
      <c r="H10" s="171" t="s">
        <v>143</v>
      </c>
      <c r="I10" s="172" t="s">
        <v>111</v>
      </c>
      <c r="J10" s="171" t="s">
        <v>111</v>
      </c>
      <c r="K10" s="170" t="s">
        <v>111</v>
      </c>
      <c r="L10" s="179" t="s">
        <v>159</v>
      </c>
      <c r="M10" s="175" t="s">
        <v>151</v>
      </c>
      <c r="N10" s="49"/>
      <c r="O10" s="49"/>
      <c r="P10" s="188" t="s">
        <v>168</v>
      </c>
      <c r="Q10" s="106"/>
      <c r="R10" s="55" t="s">
        <v>77</v>
      </c>
      <c r="S10" s="125">
        <v>6.02</v>
      </c>
      <c r="T10" s="124">
        <v>5.87</v>
      </c>
      <c r="U10" s="55" t="s">
        <v>78</v>
      </c>
      <c r="V10" s="47" t="s">
        <v>112</v>
      </c>
      <c r="W10" s="50">
        <v>56</v>
      </c>
      <c r="X10" s="50">
        <v>33</v>
      </c>
      <c r="Y10" s="50">
        <v>68</v>
      </c>
      <c r="Z10" s="51"/>
      <c r="AA10" s="51"/>
      <c r="AB10" s="51"/>
      <c r="AC10" s="52">
        <v>21</v>
      </c>
      <c r="AD10" s="53">
        <v>24</v>
      </c>
      <c r="AE10" s="62">
        <f t="shared" si="0"/>
        <v>5.2360000000000002E-3</v>
      </c>
      <c r="AF10" s="60">
        <v>63</v>
      </c>
      <c r="AG10" s="63">
        <f t="shared" si="1"/>
        <v>12032.085561497326</v>
      </c>
      <c r="AH10" s="64">
        <v>3000</v>
      </c>
      <c r="AI10" s="65">
        <f t="shared" si="15"/>
        <v>0.24933333333333332</v>
      </c>
      <c r="AJ10" s="112" t="s">
        <v>80</v>
      </c>
      <c r="AK10" s="67">
        <f t="shared" ref="AK10" si="17">11.3%+7.5%+15%</f>
        <v>0.33799999999999997</v>
      </c>
      <c r="AL10" s="65">
        <f t="shared" si="2"/>
        <v>1.9840599999999999</v>
      </c>
      <c r="AM10" s="65">
        <f t="shared" si="3"/>
        <v>8.103393333333333</v>
      </c>
      <c r="AN10" s="68">
        <v>0.01</v>
      </c>
      <c r="AO10" s="65">
        <f t="shared" si="4"/>
        <v>0.11900000000000001</v>
      </c>
      <c r="AP10" s="68">
        <v>0.06</v>
      </c>
      <c r="AQ10" s="65">
        <f t="shared" si="5"/>
        <v>0.71399999999999997</v>
      </c>
      <c r="AR10" s="21"/>
      <c r="AS10" s="68">
        <v>0</v>
      </c>
      <c r="AT10" s="65">
        <f t="shared" si="6"/>
        <v>0</v>
      </c>
      <c r="AU10" s="65">
        <f t="shared" si="7"/>
        <v>0.83299999999999996</v>
      </c>
      <c r="AV10" s="65">
        <f t="shared" si="8"/>
        <v>8.9363933333333332</v>
      </c>
      <c r="AW10" s="81">
        <f t="shared" si="9"/>
        <v>0.24904257703081237</v>
      </c>
      <c r="AX10" s="164">
        <v>11.9</v>
      </c>
      <c r="AY10" s="120">
        <v>11.5</v>
      </c>
      <c r="AZ10" s="119">
        <v>12.5</v>
      </c>
      <c r="BA10" s="121">
        <v>24.99</v>
      </c>
      <c r="BB10" s="113">
        <f t="shared" si="10"/>
        <v>0.52380952380952372</v>
      </c>
      <c r="BC10" s="21"/>
      <c r="BD10" s="163">
        <v>1000</v>
      </c>
      <c r="BE10" s="97">
        <f t="shared" ref="BE10:BE18" si="18">IF(ISERROR(AV10*BD10),"",AV10*BD10)</f>
        <v>8936.3933333333334</v>
      </c>
      <c r="BF10" s="104">
        <f t="shared" si="12"/>
        <v>11900</v>
      </c>
      <c r="BG10" s="21">
        <f t="shared" si="13"/>
        <v>24990</v>
      </c>
      <c r="BH10" s="94">
        <f t="shared" si="14"/>
        <v>5.2359999999999998</v>
      </c>
      <c r="BI10" s="106"/>
      <c r="BJ10" s="106"/>
      <c r="BK10" s="71" t="s">
        <v>81</v>
      </c>
      <c r="BL10" s="71" t="s">
        <v>2</v>
      </c>
      <c r="BM10" s="48" t="s">
        <v>113</v>
      </c>
    </row>
    <row r="11" spans="1:66" ht="67.5" customHeight="1" x14ac:dyDescent="0.25">
      <c r="A11" s="127" t="s">
        <v>132</v>
      </c>
      <c r="B11" s="106"/>
      <c r="C11" s="106"/>
      <c r="D11" s="47" t="s">
        <v>109</v>
      </c>
      <c r="E11" s="55" t="s">
        <v>101</v>
      </c>
      <c r="F11" s="84" t="s">
        <v>1</v>
      </c>
      <c r="G11" s="47" t="s">
        <v>114</v>
      </c>
      <c r="H11" s="173" t="s">
        <v>144</v>
      </c>
      <c r="I11" s="173" t="s">
        <v>145</v>
      </c>
      <c r="J11" s="173" t="s">
        <v>145</v>
      </c>
      <c r="K11" s="170" t="s">
        <v>146</v>
      </c>
      <c r="L11" s="179" t="s">
        <v>159</v>
      </c>
      <c r="M11" s="176" t="s">
        <v>150</v>
      </c>
      <c r="N11" s="49"/>
      <c r="O11" s="49"/>
      <c r="P11" s="188" t="s">
        <v>169</v>
      </c>
      <c r="Q11" s="106"/>
      <c r="R11" s="55" t="s">
        <v>77</v>
      </c>
      <c r="S11" s="125"/>
      <c r="T11" s="124">
        <v>6.25</v>
      </c>
      <c r="U11" s="55" t="s">
        <v>78</v>
      </c>
      <c r="V11" s="47" t="s">
        <v>112</v>
      </c>
      <c r="W11" s="50">
        <v>56</v>
      </c>
      <c r="X11" s="50">
        <v>33</v>
      </c>
      <c r="Y11" s="50">
        <v>68</v>
      </c>
      <c r="Z11" s="51"/>
      <c r="AA11" s="51"/>
      <c r="AB11" s="51"/>
      <c r="AC11" s="52">
        <v>21</v>
      </c>
      <c r="AD11" s="53">
        <v>24</v>
      </c>
      <c r="AE11" s="62">
        <f t="shared" si="0"/>
        <v>5.2360000000000002E-3</v>
      </c>
      <c r="AF11" s="60">
        <v>63</v>
      </c>
      <c r="AG11" s="63">
        <f t="shared" si="1"/>
        <v>12032.085561497326</v>
      </c>
      <c r="AH11" s="64">
        <v>3000</v>
      </c>
      <c r="AI11" s="65">
        <f t="shared" si="15"/>
        <v>0.24933333333333332</v>
      </c>
      <c r="AJ11" s="111" t="s">
        <v>115</v>
      </c>
      <c r="AK11" s="107">
        <f t="shared" ref="AK11:AK12" si="19">10.3%+7.5%+15%</f>
        <v>0.32799999999999996</v>
      </c>
      <c r="AL11" s="65">
        <f t="shared" si="2"/>
        <v>2.0499999999999998</v>
      </c>
      <c r="AM11" s="65">
        <f t="shared" si="3"/>
        <v>8.5493333333333332</v>
      </c>
      <c r="AN11" s="68">
        <v>0.01</v>
      </c>
      <c r="AO11" s="65">
        <f t="shared" si="4"/>
        <v>0.13500000000000001</v>
      </c>
      <c r="AP11" s="68">
        <v>0.06</v>
      </c>
      <c r="AQ11" s="65">
        <f t="shared" si="5"/>
        <v>0.80999999999999994</v>
      </c>
      <c r="AR11" s="21"/>
      <c r="AS11" s="68">
        <v>0</v>
      </c>
      <c r="AT11" s="65">
        <f t="shared" si="6"/>
        <v>0</v>
      </c>
      <c r="AU11" s="65">
        <f t="shared" si="7"/>
        <v>0.94499999999999995</v>
      </c>
      <c r="AV11" s="65">
        <f t="shared" si="8"/>
        <v>9.4943333333333335</v>
      </c>
      <c r="AW11" s="129">
        <f t="shared" si="9"/>
        <v>0.29671604938271606</v>
      </c>
      <c r="AX11" s="164">
        <v>13.5</v>
      </c>
      <c r="AY11" s="120">
        <v>13.95</v>
      </c>
      <c r="AZ11" s="119">
        <v>16.95</v>
      </c>
      <c r="BA11" s="121">
        <v>24.99</v>
      </c>
      <c r="BB11" s="113">
        <f t="shared" si="10"/>
        <v>0.45978391356542614</v>
      </c>
      <c r="BC11" s="21"/>
      <c r="BD11" s="163">
        <v>492</v>
      </c>
      <c r="BE11" s="97">
        <f t="shared" si="18"/>
        <v>4671.2120000000004</v>
      </c>
      <c r="BF11" s="104">
        <f t="shared" si="12"/>
        <v>6642</v>
      </c>
      <c r="BG11" s="21">
        <f t="shared" si="13"/>
        <v>12295.08</v>
      </c>
      <c r="BH11" s="94">
        <f t="shared" si="14"/>
        <v>2.5761120000000002</v>
      </c>
      <c r="BI11" s="106"/>
      <c r="BJ11" s="106"/>
      <c r="BK11" s="71" t="s">
        <v>81</v>
      </c>
      <c r="BL11" s="71" t="s">
        <v>2</v>
      </c>
      <c r="BM11" s="48" t="s">
        <v>113</v>
      </c>
    </row>
    <row r="12" spans="1:66" ht="67.5" customHeight="1" x14ac:dyDescent="0.25">
      <c r="A12" s="128" t="s">
        <v>133</v>
      </c>
      <c r="B12" s="106"/>
      <c r="C12" s="106"/>
      <c r="D12" s="168" t="s">
        <v>102</v>
      </c>
      <c r="E12" s="55" t="s">
        <v>72</v>
      </c>
      <c r="F12" s="84" t="s">
        <v>1</v>
      </c>
      <c r="G12" s="108" t="s">
        <v>158</v>
      </c>
      <c r="H12" s="174" t="s">
        <v>147</v>
      </c>
      <c r="I12" s="174" t="s">
        <v>149</v>
      </c>
      <c r="J12" s="174" t="s">
        <v>149</v>
      </c>
      <c r="K12" s="170" t="s">
        <v>148</v>
      </c>
      <c r="L12" s="179" t="s">
        <v>159</v>
      </c>
      <c r="M12" s="177" t="s">
        <v>89</v>
      </c>
      <c r="N12" s="49"/>
      <c r="O12" s="49"/>
      <c r="P12" s="187" t="s">
        <v>170</v>
      </c>
      <c r="Q12" s="106"/>
      <c r="R12" s="55" t="s">
        <v>77</v>
      </c>
      <c r="S12" s="125"/>
      <c r="T12" s="124">
        <v>6</v>
      </c>
      <c r="U12" s="55" t="s">
        <v>78</v>
      </c>
      <c r="V12" s="47" t="s">
        <v>112</v>
      </c>
      <c r="W12" s="50">
        <v>56</v>
      </c>
      <c r="X12" s="50">
        <v>33</v>
      </c>
      <c r="Y12" s="50">
        <v>74</v>
      </c>
      <c r="Z12" s="51"/>
      <c r="AA12" s="51"/>
      <c r="AB12" s="51"/>
      <c r="AC12" s="52">
        <v>21</v>
      </c>
      <c r="AD12" s="53">
        <v>24</v>
      </c>
      <c r="AE12" s="62">
        <f t="shared" si="0"/>
        <v>5.6980000000000008E-3</v>
      </c>
      <c r="AF12" s="60">
        <v>63</v>
      </c>
      <c r="AG12" s="63">
        <f t="shared" si="1"/>
        <v>11056.511056511057</v>
      </c>
      <c r="AH12" s="64">
        <v>3000</v>
      </c>
      <c r="AI12" s="65">
        <f t="shared" si="15"/>
        <v>0.27133333333333332</v>
      </c>
      <c r="AJ12" s="111" t="s">
        <v>115</v>
      </c>
      <c r="AK12" s="107">
        <f t="shared" si="19"/>
        <v>0.32799999999999996</v>
      </c>
      <c r="AL12" s="65">
        <f t="shared" si="2"/>
        <v>1.9679999999999997</v>
      </c>
      <c r="AM12" s="65">
        <f t="shared" si="3"/>
        <v>8.2393333333333327</v>
      </c>
      <c r="AN12" s="68">
        <v>0.01</v>
      </c>
      <c r="AO12" s="65">
        <f t="shared" si="4"/>
        <v>0.1195</v>
      </c>
      <c r="AP12" s="68">
        <v>0.05</v>
      </c>
      <c r="AQ12" s="65">
        <f t="shared" si="5"/>
        <v>0.59750000000000003</v>
      </c>
      <c r="AR12" s="21"/>
      <c r="AS12" s="68">
        <v>0</v>
      </c>
      <c r="AT12" s="65">
        <f t="shared" si="6"/>
        <v>0</v>
      </c>
      <c r="AU12" s="65">
        <f t="shared" si="7"/>
        <v>0.71700000000000008</v>
      </c>
      <c r="AV12" s="65">
        <f t="shared" si="8"/>
        <v>8.9563333333333333</v>
      </c>
      <c r="AW12" s="129">
        <f t="shared" si="9"/>
        <v>0.25051603905160386</v>
      </c>
      <c r="AX12" s="164">
        <v>11.95</v>
      </c>
      <c r="AY12" s="120">
        <v>11.95</v>
      </c>
      <c r="AZ12" s="119">
        <v>13.95</v>
      </c>
      <c r="BA12" s="121">
        <v>24.99</v>
      </c>
      <c r="BB12" s="113">
        <f t="shared" si="10"/>
        <v>0.52180872348939578</v>
      </c>
      <c r="BC12" s="21"/>
      <c r="BD12" s="163">
        <v>1000</v>
      </c>
      <c r="BE12" s="97">
        <f t="shared" si="18"/>
        <v>8956.3333333333339</v>
      </c>
      <c r="BF12" s="104">
        <f t="shared" si="12"/>
        <v>11950</v>
      </c>
      <c r="BG12" s="21">
        <f t="shared" si="13"/>
        <v>24990</v>
      </c>
      <c r="BH12" s="94">
        <f t="shared" si="14"/>
        <v>5.6980000000000004</v>
      </c>
      <c r="BI12" s="106"/>
      <c r="BJ12" s="106"/>
      <c r="BK12" s="71" t="s">
        <v>81</v>
      </c>
      <c r="BL12" s="71" t="s">
        <v>2</v>
      </c>
      <c r="BM12" s="48" t="s">
        <v>113</v>
      </c>
    </row>
    <row r="13" spans="1:66" s="154" customFormat="1" ht="108" customHeight="1" x14ac:dyDescent="0.25">
      <c r="A13" s="130"/>
      <c r="B13" s="131"/>
      <c r="C13" s="131"/>
      <c r="D13" s="132" t="s">
        <v>85</v>
      </c>
      <c r="E13" s="55" t="s">
        <v>101</v>
      </c>
      <c r="F13" s="84" t="s">
        <v>100</v>
      </c>
      <c r="G13" s="134" t="s">
        <v>120</v>
      </c>
      <c r="H13" s="133" t="s">
        <v>119</v>
      </c>
      <c r="I13" s="133" t="s">
        <v>119</v>
      </c>
      <c r="J13" s="135" t="s">
        <v>121</v>
      </c>
      <c r="K13" s="135" t="s">
        <v>121</v>
      </c>
      <c r="L13" s="136" t="s">
        <v>160</v>
      </c>
      <c r="M13" s="178" t="s">
        <v>152</v>
      </c>
      <c r="N13" s="133"/>
      <c r="O13" s="133"/>
      <c r="P13" s="188" t="s">
        <v>172</v>
      </c>
      <c r="Q13" s="131"/>
      <c r="R13" s="137" t="s">
        <v>77</v>
      </c>
      <c r="S13" s="131"/>
      <c r="T13" s="138">
        <v>1.72</v>
      </c>
      <c r="U13" s="137" t="s">
        <v>78</v>
      </c>
      <c r="V13" s="139" t="s">
        <v>122</v>
      </c>
      <c r="W13" s="140">
        <v>55</v>
      </c>
      <c r="X13" s="140">
        <v>44</v>
      </c>
      <c r="Y13" s="140">
        <v>30</v>
      </c>
      <c r="Z13" s="140"/>
      <c r="AA13" s="140"/>
      <c r="AB13" s="140"/>
      <c r="AC13" s="141">
        <v>20</v>
      </c>
      <c r="AD13" s="142">
        <v>24</v>
      </c>
      <c r="AE13" s="143">
        <f t="shared" si="0"/>
        <v>3.0249999999999999E-3</v>
      </c>
      <c r="AF13" s="144">
        <v>63</v>
      </c>
      <c r="AG13" s="145">
        <f t="shared" si="1"/>
        <v>20826.446280991735</v>
      </c>
      <c r="AH13" s="146">
        <v>3000</v>
      </c>
      <c r="AI13" s="147">
        <f t="shared" si="15"/>
        <v>0.14404761904761906</v>
      </c>
      <c r="AJ13" s="148" t="s">
        <v>134</v>
      </c>
      <c r="AK13" s="149">
        <f t="shared" ref="AK13:AK18" si="20">3.3%+15%</f>
        <v>0.183</v>
      </c>
      <c r="AL13" s="147">
        <f t="shared" si="2"/>
        <v>0.31475999999999998</v>
      </c>
      <c r="AM13" s="147">
        <f t="shared" si="3"/>
        <v>2.1788076190476189</v>
      </c>
      <c r="AN13" s="150">
        <v>0.01</v>
      </c>
      <c r="AO13" s="147">
        <f t="shared" ref="AO13:AO18" si="21">IF(ISERROR(AX13*AN13),"",AX13*AN13)</f>
        <v>3.5000000000000003E-2</v>
      </c>
      <c r="AP13" s="150">
        <v>0.06</v>
      </c>
      <c r="AQ13" s="147">
        <f t="shared" ref="AQ13:AQ18" si="22">IF(ISERROR(AX13*AP13),"",AX13*AP13)</f>
        <v>0.21</v>
      </c>
      <c r="AR13" s="151"/>
      <c r="AS13" s="150">
        <v>0</v>
      </c>
      <c r="AT13" s="147">
        <f t="shared" ref="AT13:AT18" si="23">IF(ISERROR(AX13*AS13),"",AX13*AS13)</f>
        <v>0</v>
      </c>
      <c r="AU13" s="147">
        <f t="shared" si="7"/>
        <v>0.245</v>
      </c>
      <c r="AV13" s="147">
        <f t="shared" si="8"/>
        <v>2.423807619047619</v>
      </c>
      <c r="AW13" s="152">
        <f t="shared" ref="AW13:AW18" si="24">IF(ISERROR((AX13-AV13)/AX13),"",(AX13-AV13)/AX13)</f>
        <v>0.30748353741496598</v>
      </c>
      <c r="AX13" s="138">
        <v>3.5</v>
      </c>
      <c r="AY13" s="131"/>
      <c r="AZ13" s="153"/>
      <c r="BA13" s="153">
        <v>8.99</v>
      </c>
      <c r="BB13" s="155">
        <f t="shared" ref="BB13:BB18" si="25">IF(ISERROR((BA13-AX13)/BA13),"",(BA13-AX13)/BA13)</f>
        <v>0.61067853170189101</v>
      </c>
      <c r="BC13" s="151"/>
      <c r="BD13" s="163">
        <v>1896</v>
      </c>
      <c r="BE13" s="97">
        <f t="shared" si="18"/>
        <v>4595.5392457142852</v>
      </c>
      <c r="BF13" s="156">
        <f t="shared" ref="BF13:BF18" si="26">IF(ISERROR(AX13*BD13),"",AX13*BD13)</f>
        <v>6636</v>
      </c>
      <c r="BG13" s="161">
        <f t="shared" si="13"/>
        <v>17045.04</v>
      </c>
      <c r="BH13" s="157">
        <f t="shared" ref="BH13:BH18" si="27">IF(W13="","",W13*X13*Y13/1000000/AD13*BD13)</f>
        <v>5.7354000000000003</v>
      </c>
      <c r="BI13" s="131"/>
      <c r="BJ13" s="131"/>
      <c r="BK13" s="158" t="s">
        <v>81</v>
      </c>
      <c r="BL13" s="158" t="s">
        <v>2</v>
      </c>
      <c r="BM13" s="137" t="s">
        <v>123</v>
      </c>
    </row>
    <row r="14" spans="1:66" s="154" customFormat="1" ht="108" customHeight="1" x14ac:dyDescent="0.25">
      <c r="A14" s="130"/>
      <c r="B14" s="131"/>
      <c r="C14" s="131"/>
      <c r="D14" s="132" t="s">
        <v>85</v>
      </c>
      <c r="E14" s="55" t="s">
        <v>101</v>
      </c>
      <c r="F14" s="84" t="s">
        <v>100</v>
      </c>
      <c r="G14" s="134" t="s">
        <v>120</v>
      </c>
      <c r="H14" s="133" t="s">
        <v>119</v>
      </c>
      <c r="I14" s="133" t="s">
        <v>119</v>
      </c>
      <c r="J14" s="135" t="s">
        <v>121</v>
      </c>
      <c r="K14" s="135" t="s">
        <v>121</v>
      </c>
      <c r="L14" s="136" t="s">
        <v>160</v>
      </c>
      <c r="M14" s="178" t="s">
        <v>153</v>
      </c>
      <c r="N14" s="133"/>
      <c r="O14" s="133"/>
      <c r="P14" s="188" t="s">
        <v>173</v>
      </c>
      <c r="Q14" s="131"/>
      <c r="R14" s="137" t="s">
        <v>77</v>
      </c>
      <c r="S14" s="131"/>
      <c r="T14" s="138">
        <v>1.72</v>
      </c>
      <c r="U14" s="137" t="s">
        <v>78</v>
      </c>
      <c r="V14" s="139" t="s">
        <v>122</v>
      </c>
      <c r="W14" s="140">
        <v>55</v>
      </c>
      <c r="X14" s="140">
        <v>44</v>
      </c>
      <c r="Y14" s="140">
        <v>30</v>
      </c>
      <c r="Z14" s="140"/>
      <c r="AA14" s="140"/>
      <c r="AB14" s="140"/>
      <c r="AC14" s="141">
        <v>20</v>
      </c>
      <c r="AD14" s="142">
        <v>24</v>
      </c>
      <c r="AE14" s="143">
        <f t="shared" si="0"/>
        <v>3.0249999999999999E-3</v>
      </c>
      <c r="AF14" s="144">
        <v>63</v>
      </c>
      <c r="AG14" s="145">
        <f t="shared" si="1"/>
        <v>20826.446280991735</v>
      </c>
      <c r="AH14" s="146">
        <v>3000</v>
      </c>
      <c r="AI14" s="147">
        <f t="shared" si="15"/>
        <v>0.14404761904761906</v>
      </c>
      <c r="AJ14" s="148" t="s">
        <v>134</v>
      </c>
      <c r="AK14" s="149">
        <f t="shared" si="20"/>
        <v>0.183</v>
      </c>
      <c r="AL14" s="147">
        <f t="shared" si="2"/>
        <v>0.31475999999999998</v>
      </c>
      <c r="AM14" s="147">
        <f t="shared" si="3"/>
        <v>2.1788076190476189</v>
      </c>
      <c r="AN14" s="150">
        <v>0.01</v>
      </c>
      <c r="AO14" s="147">
        <f t="shared" si="21"/>
        <v>3.5000000000000003E-2</v>
      </c>
      <c r="AP14" s="150">
        <v>0.06</v>
      </c>
      <c r="AQ14" s="147">
        <f t="shared" si="22"/>
        <v>0.21</v>
      </c>
      <c r="AR14" s="151"/>
      <c r="AS14" s="150">
        <v>0</v>
      </c>
      <c r="AT14" s="147">
        <f t="shared" si="23"/>
        <v>0</v>
      </c>
      <c r="AU14" s="147">
        <f t="shared" si="7"/>
        <v>0.245</v>
      </c>
      <c r="AV14" s="147">
        <f t="shared" si="8"/>
        <v>2.423807619047619</v>
      </c>
      <c r="AW14" s="152">
        <f t="shared" si="24"/>
        <v>0.30748353741496598</v>
      </c>
      <c r="AX14" s="138">
        <v>3.5</v>
      </c>
      <c r="AY14" s="131"/>
      <c r="AZ14" s="153"/>
      <c r="BA14" s="153">
        <v>8.99</v>
      </c>
      <c r="BB14" s="155">
        <f t="shared" si="25"/>
        <v>0.61067853170189101</v>
      </c>
      <c r="BC14" s="151"/>
      <c r="BD14" s="163">
        <v>1896</v>
      </c>
      <c r="BE14" s="97">
        <f t="shared" si="18"/>
        <v>4595.5392457142852</v>
      </c>
      <c r="BF14" s="156">
        <f t="shared" si="26"/>
        <v>6636</v>
      </c>
      <c r="BG14" s="161">
        <f t="shared" si="13"/>
        <v>17045.04</v>
      </c>
      <c r="BH14" s="157">
        <f t="shared" si="27"/>
        <v>5.7354000000000003</v>
      </c>
      <c r="BI14" s="131"/>
      <c r="BJ14" s="131"/>
      <c r="BK14" s="158" t="s">
        <v>81</v>
      </c>
      <c r="BL14" s="158" t="s">
        <v>2</v>
      </c>
      <c r="BM14" s="137" t="s">
        <v>123</v>
      </c>
    </row>
    <row r="15" spans="1:66" s="154" customFormat="1" ht="108" customHeight="1" x14ac:dyDescent="0.25">
      <c r="A15" s="130"/>
      <c r="B15" s="131"/>
      <c r="C15" s="131"/>
      <c r="D15" s="132" t="s">
        <v>85</v>
      </c>
      <c r="E15" s="55" t="s">
        <v>101</v>
      </c>
      <c r="F15" s="84" t="s">
        <v>100</v>
      </c>
      <c r="G15" s="134" t="s">
        <v>120</v>
      </c>
      <c r="H15" s="133" t="s">
        <v>119</v>
      </c>
      <c r="I15" s="133" t="s">
        <v>119</v>
      </c>
      <c r="J15" s="135" t="s">
        <v>121</v>
      </c>
      <c r="K15" s="135" t="s">
        <v>121</v>
      </c>
      <c r="L15" s="136" t="s">
        <v>160</v>
      </c>
      <c r="M15" s="178" t="s">
        <v>154</v>
      </c>
      <c r="N15" s="133"/>
      <c r="O15" s="133"/>
      <c r="P15" s="188" t="s">
        <v>174</v>
      </c>
      <c r="Q15" s="131"/>
      <c r="R15" s="137" t="s">
        <v>77</v>
      </c>
      <c r="S15" s="131"/>
      <c r="T15" s="138">
        <v>1.72</v>
      </c>
      <c r="U15" s="137" t="s">
        <v>78</v>
      </c>
      <c r="V15" s="139" t="s">
        <v>122</v>
      </c>
      <c r="W15" s="140">
        <v>55</v>
      </c>
      <c r="X15" s="140">
        <v>44</v>
      </c>
      <c r="Y15" s="140">
        <v>30</v>
      </c>
      <c r="Z15" s="140"/>
      <c r="AA15" s="140"/>
      <c r="AB15" s="140"/>
      <c r="AC15" s="141">
        <v>20</v>
      </c>
      <c r="AD15" s="142">
        <v>24</v>
      </c>
      <c r="AE15" s="143">
        <f t="shared" si="0"/>
        <v>3.0249999999999999E-3</v>
      </c>
      <c r="AF15" s="144">
        <v>63</v>
      </c>
      <c r="AG15" s="145">
        <f t="shared" si="1"/>
        <v>20826.446280991735</v>
      </c>
      <c r="AH15" s="146">
        <v>3000</v>
      </c>
      <c r="AI15" s="147">
        <f t="shared" si="15"/>
        <v>0.14404761904761906</v>
      </c>
      <c r="AJ15" s="148" t="s">
        <v>134</v>
      </c>
      <c r="AK15" s="149">
        <f t="shared" si="20"/>
        <v>0.183</v>
      </c>
      <c r="AL15" s="147">
        <f t="shared" si="2"/>
        <v>0.31475999999999998</v>
      </c>
      <c r="AM15" s="147">
        <f t="shared" si="3"/>
        <v>2.1788076190476189</v>
      </c>
      <c r="AN15" s="150">
        <v>0.01</v>
      </c>
      <c r="AO15" s="147">
        <f t="shared" si="21"/>
        <v>3.5000000000000003E-2</v>
      </c>
      <c r="AP15" s="150">
        <v>0.06</v>
      </c>
      <c r="AQ15" s="147">
        <f t="shared" si="22"/>
        <v>0.21</v>
      </c>
      <c r="AR15" s="151"/>
      <c r="AS15" s="150">
        <v>0</v>
      </c>
      <c r="AT15" s="147">
        <f t="shared" si="23"/>
        <v>0</v>
      </c>
      <c r="AU15" s="147">
        <f t="shared" si="7"/>
        <v>0.245</v>
      </c>
      <c r="AV15" s="147">
        <f t="shared" si="8"/>
        <v>2.423807619047619</v>
      </c>
      <c r="AW15" s="152">
        <f t="shared" si="24"/>
        <v>0.30748353741496598</v>
      </c>
      <c r="AX15" s="138">
        <v>3.5</v>
      </c>
      <c r="AY15" s="131"/>
      <c r="AZ15" s="153"/>
      <c r="BA15" s="153">
        <v>8.99</v>
      </c>
      <c r="BB15" s="155">
        <f t="shared" si="25"/>
        <v>0.61067853170189101</v>
      </c>
      <c r="BC15" s="151"/>
      <c r="BD15" s="163">
        <v>1896</v>
      </c>
      <c r="BE15" s="97">
        <f t="shared" si="18"/>
        <v>4595.5392457142852</v>
      </c>
      <c r="BF15" s="156">
        <f t="shared" si="26"/>
        <v>6636</v>
      </c>
      <c r="BG15" s="161">
        <f t="shared" si="13"/>
        <v>17045.04</v>
      </c>
      <c r="BH15" s="157">
        <f t="shared" si="27"/>
        <v>5.7354000000000003</v>
      </c>
      <c r="BI15" s="131"/>
      <c r="BJ15" s="131"/>
      <c r="BK15" s="158" t="s">
        <v>81</v>
      </c>
      <c r="BL15" s="158" t="s">
        <v>2</v>
      </c>
      <c r="BM15" s="137" t="s">
        <v>123</v>
      </c>
    </row>
    <row r="16" spans="1:66" s="154" customFormat="1" ht="90" x14ac:dyDescent="0.25">
      <c r="A16" s="130"/>
      <c r="B16" s="131"/>
      <c r="C16" s="131"/>
      <c r="D16" s="168" t="s">
        <v>102</v>
      </c>
      <c r="E16" s="55" t="s">
        <v>72</v>
      </c>
      <c r="F16" s="84" t="s">
        <v>100</v>
      </c>
      <c r="G16" s="134" t="s">
        <v>126</v>
      </c>
      <c r="H16" s="133" t="s">
        <v>125</v>
      </c>
      <c r="I16" s="133" t="s">
        <v>125</v>
      </c>
      <c r="J16" s="135" t="s">
        <v>127</v>
      </c>
      <c r="K16" s="135" t="s">
        <v>121</v>
      </c>
      <c r="L16" s="133" t="s">
        <v>161</v>
      </c>
      <c r="M16" s="178" t="s">
        <v>155</v>
      </c>
      <c r="N16" s="133"/>
      <c r="O16" s="133"/>
      <c r="P16" s="187" t="s">
        <v>171</v>
      </c>
      <c r="Q16" s="131"/>
      <c r="R16" s="137" t="s">
        <v>77</v>
      </c>
      <c r="S16" s="131"/>
      <c r="T16" s="138">
        <v>0.89</v>
      </c>
      <c r="U16" s="137" t="s">
        <v>78</v>
      </c>
      <c r="V16" s="159" t="s">
        <v>124</v>
      </c>
      <c r="W16" s="140">
        <v>41</v>
      </c>
      <c r="X16" s="140">
        <f>7*4+2</f>
        <v>30</v>
      </c>
      <c r="Y16" s="140">
        <f>7*6+2</f>
        <v>44</v>
      </c>
      <c r="Z16" s="140"/>
      <c r="AA16" s="140"/>
      <c r="AB16" s="140"/>
      <c r="AC16" s="141">
        <v>20</v>
      </c>
      <c r="AD16" s="142">
        <v>24</v>
      </c>
      <c r="AE16" s="143">
        <f t="shared" si="0"/>
        <v>2.2550000000000001E-3</v>
      </c>
      <c r="AF16" s="144">
        <v>63</v>
      </c>
      <c r="AG16" s="145">
        <f t="shared" si="1"/>
        <v>27937.91574279379</v>
      </c>
      <c r="AH16" s="146">
        <v>3000</v>
      </c>
      <c r="AI16" s="147">
        <f t="shared" si="15"/>
        <v>0.10738095238095238</v>
      </c>
      <c r="AJ16" s="148" t="s">
        <v>134</v>
      </c>
      <c r="AK16" s="149">
        <f t="shared" si="20"/>
        <v>0.183</v>
      </c>
      <c r="AL16" s="147">
        <f t="shared" si="2"/>
        <v>0.16286999999999999</v>
      </c>
      <c r="AM16" s="147">
        <f t="shared" si="3"/>
        <v>1.1602509523809523</v>
      </c>
      <c r="AN16" s="150">
        <v>0.01</v>
      </c>
      <c r="AO16" s="147">
        <f t="shared" si="21"/>
        <v>1.95E-2</v>
      </c>
      <c r="AP16" s="150">
        <v>0.05</v>
      </c>
      <c r="AQ16" s="147">
        <f t="shared" si="22"/>
        <v>9.7500000000000003E-2</v>
      </c>
      <c r="AR16" s="151"/>
      <c r="AS16" s="150">
        <v>0</v>
      </c>
      <c r="AT16" s="147">
        <f t="shared" si="23"/>
        <v>0</v>
      </c>
      <c r="AU16" s="147">
        <f t="shared" si="7"/>
        <v>0.11700000000000001</v>
      </c>
      <c r="AV16" s="147">
        <f t="shared" si="8"/>
        <v>1.2772509523809523</v>
      </c>
      <c r="AW16" s="152">
        <f t="shared" si="24"/>
        <v>0.34499951159951164</v>
      </c>
      <c r="AX16" s="138">
        <v>1.95</v>
      </c>
      <c r="AY16" s="153"/>
      <c r="AZ16" s="153"/>
      <c r="BA16" s="153">
        <v>5.99</v>
      </c>
      <c r="BB16" s="155">
        <f t="shared" si="25"/>
        <v>0.67445742904841399</v>
      </c>
      <c r="BC16" s="151"/>
      <c r="BD16" s="163">
        <v>1896</v>
      </c>
      <c r="BE16" s="97">
        <f t="shared" si="18"/>
        <v>2421.6678057142858</v>
      </c>
      <c r="BF16" s="156">
        <f t="shared" si="26"/>
        <v>3697.2</v>
      </c>
      <c r="BG16" s="161">
        <f t="shared" si="13"/>
        <v>11357.04</v>
      </c>
      <c r="BH16" s="157">
        <f t="shared" si="27"/>
        <v>4.2754799999999999</v>
      </c>
      <c r="BI16" s="131"/>
      <c r="BJ16" s="131"/>
      <c r="BK16" s="158" t="s">
        <v>81</v>
      </c>
      <c r="BL16" s="158" t="s">
        <v>2</v>
      </c>
      <c r="BM16" s="139" t="s">
        <v>128</v>
      </c>
    </row>
    <row r="17" spans="1:65" s="154" customFormat="1" ht="90" x14ac:dyDescent="0.25">
      <c r="A17" s="130"/>
      <c r="B17" s="131"/>
      <c r="C17" s="131"/>
      <c r="D17" s="168" t="s">
        <v>102</v>
      </c>
      <c r="E17" s="55" t="s">
        <v>72</v>
      </c>
      <c r="F17" s="84" t="s">
        <v>100</v>
      </c>
      <c r="G17" s="134" t="s">
        <v>129</v>
      </c>
      <c r="H17" s="133" t="s">
        <v>119</v>
      </c>
      <c r="I17" s="133" t="s">
        <v>119</v>
      </c>
      <c r="J17" s="135" t="s">
        <v>130</v>
      </c>
      <c r="K17" s="135" t="s">
        <v>121</v>
      </c>
      <c r="L17" s="133" t="s">
        <v>161</v>
      </c>
      <c r="M17" s="178" t="s">
        <v>157</v>
      </c>
      <c r="N17" s="133"/>
      <c r="O17" s="133"/>
      <c r="P17" s="187" t="s">
        <v>175</v>
      </c>
      <c r="Q17" s="131"/>
      <c r="R17" s="137" t="s">
        <v>77</v>
      </c>
      <c r="S17" s="131"/>
      <c r="T17" s="138">
        <v>0.93</v>
      </c>
      <c r="U17" s="137" t="s">
        <v>78</v>
      </c>
      <c r="V17" s="159" t="s">
        <v>124</v>
      </c>
      <c r="W17" s="140">
        <v>41</v>
      </c>
      <c r="X17" s="140">
        <f>7*4+2</f>
        <v>30</v>
      </c>
      <c r="Y17" s="140">
        <f>7*6+2</f>
        <v>44</v>
      </c>
      <c r="Z17" s="160"/>
      <c r="AA17" s="140"/>
      <c r="AB17" s="140"/>
      <c r="AC17" s="141">
        <v>20</v>
      </c>
      <c r="AD17" s="142">
        <v>24</v>
      </c>
      <c r="AE17" s="143">
        <f t="shared" si="0"/>
        <v>2.2550000000000001E-3</v>
      </c>
      <c r="AF17" s="144">
        <v>63</v>
      </c>
      <c r="AG17" s="145">
        <f t="shared" si="1"/>
        <v>27937.91574279379</v>
      </c>
      <c r="AH17" s="146">
        <v>3000</v>
      </c>
      <c r="AI17" s="147">
        <f t="shared" si="15"/>
        <v>0.10738095238095238</v>
      </c>
      <c r="AJ17" s="148" t="s">
        <v>134</v>
      </c>
      <c r="AK17" s="149">
        <f t="shared" si="20"/>
        <v>0.183</v>
      </c>
      <c r="AL17" s="147">
        <f t="shared" si="2"/>
        <v>0.17019000000000001</v>
      </c>
      <c r="AM17" s="147">
        <f t="shared" si="3"/>
        <v>1.2075709523809526</v>
      </c>
      <c r="AN17" s="150">
        <v>0.01</v>
      </c>
      <c r="AO17" s="147">
        <f t="shared" si="21"/>
        <v>1.95E-2</v>
      </c>
      <c r="AP17" s="150">
        <v>0.05</v>
      </c>
      <c r="AQ17" s="147">
        <f t="shared" si="22"/>
        <v>9.7500000000000003E-2</v>
      </c>
      <c r="AR17" s="151"/>
      <c r="AS17" s="150">
        <v>0</v>
      </c>
      <c r="AT17" s="147">
        <f t="shared" si="23"/>
        <v>0</v>
      </c>
      <c r="AU17" s="147">
        <f t="shared" si="7"/>
        <v>0.11700000000000001</v>
      </c>
      <c r="AV17" s="147">
        <f t="shared" si="8"/>
        <v>1.3245709523809526</v>
      </c>
      <c r="AW17" s="152">
        <f t="shared" si="24"/>
        <v>0.32073284493284482</v>
      </c>
      <c r="AX17" s="138">
        <v>1.95</v>
      </c>
      <c r="AY17" s="153"/>
      <c r="AZ17" s="153"/>
      <c r="BA17" s="153">
        <v>5.99</v>
      </c>
      <c r="BB17" s="155">
        <f t="shared" si="25"/>
        <v>0.67445742904841399</v>
      </c>
      <c r="BC17" s="151"/>
      <c r="BD17" s="163">
        <v>1896</v>
      </c>
      <c r="BE17" s="97">
        <f t="shared" si="18"/>
        <v>2511.3865257142861</v>
      </c>
      <c r="BF17" s="156">
        <f t="shared" si="26"/>
        <v>3697.2</v>
      </c>
      <c r="BG17" s="161">
        <f t="shared" si="13"/>
        <v>11357.04</v>
      </c>
      <c r="BH17" s="157">
        <f t="shared" si="27"/>
        <v>4.2754799999999999</v>
      </c>
      <c r="BI17" s="131"/>
      <c r="BJ17" s="131"/>
      <c r="BK17" s="158" t="s">
        <v>81</v>
      </c>
      <c r="BL17" s="158" t="s">
        <v>2</v>
      </c>
      <c r="BM17" s="139" t="s">
        <v>131</v>
      </c>
    </row>
    <row r="18" spans="1:65" s="154" customFormat="1" ht="90" x14ac:dyDescent="0.25">
      <c r="A18" s="130"/>
      <c r="B18" s="131"/>
      <c r="C18" s="131"/>
      <c r="D18" s="168" t="s">
        <v>102</v>
      </c>
      <c r="E18" s="55" t="s">
        <v>72</v>
      </c>
      <c r="F18" s="55" t="s">
        <v>100</v>
      </c>
      <c r="G18" s="134" t="s">
        <v>129</v>
      </c>
      <c r="H18" s="133" t="s">
        <v>119</v>
      </c>
      <c r="I18" s="133" t="s">
        <v>119</v>
      </c>
      <c r="J18" s="135" t="s">
        <v>130</v>
      </c>
      <c r="K18" s="135" t="s">
        <v>121</v>
      </c>
      <c r="L18" s="133" t="s">
        <v>161</v>
      </c>
      <c r="M18" s="178" t="s">
        <v>156</v>
      </c>
      <c r="N18" s="133"/>
      <c r="O18" s="133"/>
      <c r="P18" s="187" t="s">
        <v>176</v>
      </c>
      <c r="Q18" s="131"/>
      <c r="R18" s="137" t="s">
        <v>77</v>
      </c>
      <c r="S18" s="131"/>
      <c r="T18" s="138">
        <v>0.93</v>
      </c>
      <c r="U18" s="137" t="s">
        <v>78</v>
      </c>
      <c r="V18" s="159" t="s">
        <v>124</v>
      </c>
      <c r="W18" s="140">
        <v>41</v>
      </c>
      <c r="X18" s="140">
        <f>7*4+2</f>
        <v>30</v>
      </c>
      <c r="Y18" s="140">
        <f>7*6+2</f>
        <v>44</v>
      </c>
      <c r="Z18" s="160"/>
      <c r="AA18" s="140"/>
      <c r="AB18" s="140"/>
      <c r="AC18" s="141">
        <v>20</v>
      </c>
      <c r="AD18" s="142">
        <v>24</v>
      </c>
      <c r="AE18" s="143">
        <f t="shared" si="0"/>
        <v>2.2550000000000001E-3</v>
      </c>
      <c r="AF18" s="144">
        <v>63</v>
      </c>
      <c r="AG18" s="145">
        <f t="shared" si="1"/>
        <v>27937.91574279379</v>
      </c>
      <c r="AH18" s="146">
        <v>3000</v>
      </c>
      <c r="AI18" s="147">
        <f t="shared" si="15"/>
        <v>0.10738095238095238</v>
      </c>
      <c r="AJ18" s="148" t="s">
        <v>134</v>
      </c>
      <c r="AK18" s="149">
        <f t="shared" si="20"/>
        <v>0.183</v>
      </c>
      <c r="AL18" s="147">
        <f t="shared" si="2"/>
        <v>0.17019000000000001</v>
      </c>
      <c r="AM18" s="147">
        <f t="shared" si="3"/>
        <v>1.2075709523809526</v>
      </c>
      <c r="AN18" s="150">
        <v>0.01</v>
      </c>
      <c r="AO18" s="147">
        <f t="shared" si="21"/>
        <v>1.95E-2</v>
      </c>
      <c r="AP18" s="150">
        <v>0.05</v>
      </c>
      <c r="AQ18" s="147">
        <f t="shared" si="22"/>
        <v>9.7500000000000003E-2</v>
      </c>
      <c r="AR18" s="151"/>
      <c r="AS18" s="150">
        <v>0</v>
      </c>
      <c r="AT18" s="147">
        <f t="shared" si="23"/>
        <v>0</v>
      </c>
      <c r="AU18" s="147">
        <f t="shared" si="7"/>
        <v>0.11700000000000001</v>
      </c>
      <c r="AV18" s="147">
        <f t="shared" si="8"/>
        <v>1.3245709523809526</v>
      </c>
      <c r="AW18" s="152">
        <f t="shared" si="24"/>
        <v>0.32073284493284482</v>
      </c>
      <c r="AX18" s="138">
        <v>1.95</v>
      </c>
      <c r="AY18" s="153"/>
      <c r="AZ18" s="153"/>
      <c r="BA18" s="153">
        <v>5.99</v>
      </c>
      <c r="BB18" s="155">
        <f t="shared" si="25"/>
        <v>0.67445742904841399</v>
      </c>
      <c r="BC18" s="151"/>
      <c r="BD18" s="163">
        <v>1896</v>
      </c>
      <c r="BE18" s="97">
        <f t="shared" si="18"/>
        <v>2511.3865257142861</v>
      </c>
      <c r="BF18" s="156">
        <f t="shared" si="26"/>
        <v>3697.2</v>
      </c>
      <c r="BG18" s="161">
        <f t="shared" si="13"/>
        <v>11357.04</v>
      </c>
      <c r="BH18" s="157">
        <f t="shared" si="27"/>
        <v>4.2754799999999999</v>
      </c>
      <c r="BI18" s="131"/>
      <c r="BJ18" s="131"/>
      <c r="BK18" s="158" t="s">
        <v>81</v>
      </c>
      <c r="BL18" s="158" t="s">
        <v>2</v>
      </c>
      <c r="BM18" s="139" t="s">
        <v>131</v>
      </c>
    </row>
    <row r="19" spans="1:65" x14ac:dyDescent="0.25">
      <c r="AW19" s="166">
        <f>(BF19-BE19)/BF19</f>
        <v>0.28226078412899119</v>
      </c>
      <c r="BD19" s="2">
        <f>SUM(BD4:BD18)</f>
        <v>24048</v>
      </c>
      <c r="BE19" s="165">
        <f t="shared" ref="BE19:BF19" si="28">SUM(BE4:BE18)</f>
        <v>72644.539255952404</v>
      </c>
      <c r="BF19" s="165">
        <f t="shared" si="28"/>
        <v>101212.99999999999</v>
      </c>
      <c r="BG19" s="2"/>
      <c r="BH19" s="8">
        <f>SUM(BH13:BH18)</f>
        <v>30.032640000000008</v>
      </c>
    </row>
    <row r="22" spans="1:65" x14ac:dyDescent="0.25">
      <c r="BH22" s="8" t="e">
        <f>BH19+#REF!</f>
        <v>#REF!</v>
      </c>
    </row>
    <row r="23" spans="1:65" x14ac:dyDescent="0.25">
      <c r="BH23" s="2" t="e">
        <f>BH22/2</f>
        <v>#REF!</v>
      </c>
    </row>
  </sheetData>
  <protectedRanges>
    <protectedRange sqref="Z10:AC10" name="Range1_2"/>
    <protectedRange sqref="Z11:AC11" name="Range1_2_3"/>
    <protectedRange sqref="W11:Y11" name="Range1_2_1_2"/>
    <protectedRange sqref="G12" name="Range1_1_2"/>
    <protectedRange sqref="Z12:AC12" name="Range1_2_4"/>
    <protectedRange sqref="W12:Y12" name="Range1_2_1_3"/>
    <protectedRange sqref="D13:D15" name="Range1_1_5"/>
    <protectedRange sqref="G13:H18" name="Range1_7"/>
    <protectedRange sqref="I13:K18" name="Range1_8"/>
    <protectedRange sqref="L13:L15" name="Range1_9_1"/>
    <protectedRange sqref="L16:L18" name="Range1_1_6_1"/>
    <protectedRange sqref="U13:U18" name="Range1_1_9"/>
    <protectedRange sqref="W15:AB15 W13:AC14 AC15:AC18" name="Range1_13"/>
    <protectedRange sqref="AA17:AB18 Z16:AB16" name="Range1_2_4_1"/>
    <protectedRange sqref="V16:V18" name="Range1_12"/>
    <protectedRange sqref="V13:V15" name="Range1_1_10"/>
  </protectedRanges>
  <mergeCells count="7">
    <mergeCell ref="BH2:BI2"/>
    <mergeCell ref="U1:AI1"/>
    <mergeCell ref="W2:Y2"/>
    <mergeCell ref="Z2:AC2"/>
    <mergeCell ref="AJ2:AL2"/>
    <mergeCell ref="AN2:AU2"/>
    <mergeCell ref="AV2:BB2"/>
  </mergeCells>
  <phoneticPr fontId="28" type="noConversion"/>
  <dataValidations count="1">
    <dataValidation type="list" allowBlank="1" showInputMessage="1" showErrorMessage="1" sqref="D13:D15 U13:U18" xr:uid="{0593AC85-DB94-4F77-847B-94240C771AE7}">
      <formula1>#REF!</formula1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E32476F-784F-40AB-8BB1-A1C637E8EA21}">
          <x14:formula1>
            <xm:f>#REF!</xm:f>
          </x14:formula1>
          <x14:formula2>
            <xm:f>0</xm:f>
          </x14:formula2>
          <xm:sqref>D12 D4:D9 D16:D38</xm:sqref>
        </x14:dataValidation>
        <x14:dataValidation type="list" allowBlank="1" showInputMessage="1" showErrorMessage="1" xr:uid="{2B8AD791-A269-4C05-A428-A0B860220505}">
          <x14:formula1>
            <xm:f>#REF!</xm:f>
          </x14:formula1>
          <x14:formula2>
            <xm:f>0</xm:f>
          </x14:formula2>
          <xm:sqref>BM19:BM38 BM4:BM9</xm:sqref>
        </x14:dataValidation>
        <x14:dataValidation type="list" allowBlank="1" showInputMessage="1" showErrorMessage="1" xr:uid="{3395048B-A3A4-4754-A54D-BA89023495C3}">
          <x14:formula1>
            <xm:f>#REF!</xm:f>
          </x14:formula1>
          <x14:formula2>
            <xm:f>0</xm:f>
          </x14:formula2>
          <xm:sqref>U19:U38 U4:U12</xm:sqref>
        </x14:dataValidation>
        <x14:dataValidation type="list" allowBlank="1" showInputMessage="1" showErrorMessage="1" xr:uid="{5379DD66-D3E4-4707-8F1D-8159334514D7}">
          <x14:formula1>
            <xm:f>#REF!</xm:f>
          </x14:formula1>
          <x14:formula2>
            <xm:f>0</xm:f>
          </x14:formula2>
          <xm:sqref>F4:F38</xm:sqref>
        </x14:dataValidation>
        <x14:dataValidation type="list" allowBlank="1" showInputMessage="1" showErrorMessage="1" xr:uid="{D48DD240-CD68-4CC1-A7FB-733F92B5583B}">
          <x14:formula1>
            <xm:f>#REF!</xm:f>
          </x14:formula1>
          <x14:formula2>
            <xm:f>0</xm:f>
          </x14:formula2>
          <xm:sqref>E4:E38</xm:sqref>
        </x14:dataValidation>
        <x14:dataValidation type="list" allowBlank="1" showInputMessage="1" showErrorMessage="1" xr:uid="{2A032480-E303-4F94-A147-DB4D841737C9}">
          <x14:formula1>
            <xm:f>#REF!</xm:f>
          </x14:formula1>
          <x14:formula2>
            <xm:f>0</xm:f>
          </x14:formula2>
          <xm:sqref>BL4:BL38</xm:sqref>
        </x14:dataValidation>
        <x14:dataValidation type="list" allowBlank="1" showInputMessage="1" showErrorMessage="1" xr:uid="{A7BA30F1-24C6-4C56-9510-C5B371F08F1D}">
          <x14:formula1>
            <xm:f>#REF!</xm:f>
          </x14:formula1>
          <x14:formula2>
            <xm:f>0</xm:f>
          </x14:formula2>
          <xm:sqref>BK4:BK38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2026-05-13T02:40:22Z</dcterms:modified>
  <dc:language>en-US</dc:language>
</cp:coreProperties>
</file>