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2F1CEE5-B062-457B-9F0D-34B720EA5C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" i="7" l="1"/>
  <c r="AG3" i="7"/>
  <c r="AB3" i="7"/>
  <c r="AC3" i="7" s="1"/>
  <c r="AE3" i="7" s="1"/>
  <c r="AX2" i="7"/>
  <c r="AW2" i="7" s="1"/>
  <c r="AG2" i="7"/>
  <c r="AB2" i="7"/>
  <c r="AC2" i="7" s="1"/>
  <c r="AE2" i="7" s="1"/>
  <c r="AH2" i="7" l="1"/>
  <c r="AI2" i="7" s="1"/>
  <c r="AH3" i="7"/>
  <c r="AI3" i="7" s="1"/>
  <c r="AS2" i="7"/>
  <c r="AK2" i="7"/>
  <c r="AO2" i="7"/>
  <c r="AM2" i="7"/>
  <c r="AP2" i="7"/>
  <c r="AW3" i="7"/>
  <c r="AO3" i="7" l="1"/>
  <c r="AM3" i="7"/>
  <c r="AS3" i="7"/>
  <c r="AK3" i="7"/>
  <c r="AT2" i="7"/>
  <c r="AU2" i="7" s="1"/>
  <c r="AV2" i="7" s="1"/>
  <c r="AP3" i="7"/>
  <c r="AT3" i="7" l="1"/>
  <c r="AU3" i="7" s="1"/>
  <c r="AV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<sst xmlns="http://schemas.openxmlformats.org/spreadsheetml/2006/main" count="80" uniqueCount="69">
  <si>
    <t>Brand</t>
  </si>
  <si>
    <t>Madison Park</t>
  </si>
  <si>
    <t>Licensor</t>
  </si>
  <si>
    <t>COVERLET&amp;BEDSPR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</si>
  <si>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</si>
  <si>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</si>
  <si>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</si>
  <si>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</si>
  <si>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</si>
  <si>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</si>
  <si>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</si>
  <si>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</si>
  <si>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</si>
  <si>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</si>
  <si>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</si>
  <si>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</si>
  <si>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</si>
  <si>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</si>
  <si>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</si>
  <si>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</si>
  <si>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</si>
  <si>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</si>
  <si>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</si>
  <si>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</si>
  <si>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</si>
  <si>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</si>
  <si>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</si>
  <si>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</si>
  <si>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</si>
  <si>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</si>
  <si>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</si>
  <si>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</si>
  <si>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</si>
  <si>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</si>
  <si>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</si>
  <si>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</si>
  <si>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</si>
  <si>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</si>
  <si>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</si>
  <si>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</si>
  <si>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</si>
  <si>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</si>
  <si>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</si>
  <si>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</si>
  <si>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</si>
  <si>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</si>
  <si>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</si>
  <si>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</si>
  <si>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</si>
  <si>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</si>
  <si>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</si>
  <si>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</si>
  <si>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</si>
  <si>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</si>
  <si>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Qty</t>
  </si>
  <si>
    <t>1st shipment with production lead time</t>
  </si>
  <si>
    <t xml:space="preserve">2nd shipment 8wks after 1st shipment
</t>
  </si>
  <si>
    <t>N/A</t>
  </si>
  <si>
    <t>Ashford</t>
  </si>
  <si>
    <t>100% Cotton Print Coverlet Mini Set</t>
  </si>
  <si>
    <t>Coverlet Mini Set</t>
  </si>
  <si>
    <t>Coverlet/Shams: T144 cotton face and reverse. real patchwork with print. Solid ruffle around patchwork edge. 150gsm poly filling.</t>
  </si>
  <si>
    <t>Face: 100% cotton
Back: 100% cotton</t>
  </si>
  <si>
    <t>Full/Queen
1 Quilt 90"W x 92"L
2 Standard Shams 20"W x 26"L(2)</t>
  </si>
  <si>
    <t>Sand</t>
  </si>
  <si>
    <t>Set</t>
  </si>
  <si>
    <t>Compressed/Knocked Down</t>
  </si>
  <si>
    <t>9404.40.9022</t>
  </si>
  <si>
    <t>King/Cal King
1 Quilt 104"W x 94"L
2 King Shams 20"W x 36"L(2)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</si>
</sst>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0.00_);[Red]\(0.00\)"/>
    <numFmt numFmtId="184" formatCode="0_);[Red]\(0\)"/>
  </numFmts>
  <fonts count="1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3" fillId="0" borderId="0"/>
    <xf numFmtId="0" fontId="3" fillId="0" borderId="0"/>
    <xf numFmtId="0" fontId="9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177" fontId="3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2" fillId="0" borderId="0" xfId="10" applyAlignment="1">
      <alignment vertical="center" wrapText="1"/>
    </xf>
    <xf numFmtId="0" fontId="1" fillId="0" borderId="1" xfId="10" applyFont="1" applyBorder="1" applyAlignment="1">
      <alignment horizontal="center" vertical="center" wrapText="1"/>
    </xf>
    <xf numFmtId="0" fontId="1" fillId="4" borderId="1" xfId="10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0" fontId="4" fillId="5" borderId="1" xfId="10" applyFont="1" applyFill="1" applyBorder="1" applyAlignment="1">
      <alignment horizontal="center" vertical="center" wrapText="1"/>
    </xf>
    <xf numFmtId="0" fontId="1" fillId="5" borderId="1" xfId="10" applyFont="1" applyFill="1" applyBorder="1" applyAlignment="1">
      <alignment horizontal="center" vertical="center" wrapText="1"/>
    </xf>
    <xf numFmtId="179" fontId="1" fillId="3" borderId="1" xfId="10" applyNumberFormat="1" applyFont="1" applyFill="1" applyBorder="1" applyAlignment="1">
      <alignment horizontal="center" vertical="center" wrapText="1"/>
    </xf>
    <xf numFmtId="2" fontId="1" fillId="3" borderId="1" xfId="10" applyNumberFormat="1" applyFont="1" applyFill="1" applyBorder="1" applyAlignment="1">
      <alignment horizontal="center" vertical="center" wrapText="1"/>
    </xf>
    <xf numFmtId="178" fontId="6" fillId="3" borderId="1" xfId="11" applyNumberFormat="1" applyFont="1" applyFill="1" applyBorder="1" applyAlignment="1">
      <alignment vertical="center" wrapText="1"/>
    </xf>
    <xf numFmtId="178" fontId="1" fillId="6" borderId="2" xfId="10" applyNumberFormat="1" applyFont="1" applyFill="1" applyBorder="1" applyAlignment="1">
      <alignment horizontal="center" vertical="center" wrapText="1"/>
    </xf>
    <xf numFmtId="178" fontId="1" fillId="3" borderId="1" xfId="10" applyNumberFormat="1" applyFont="1" applyFill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180" fontId="1" fillId="0" borderId="1" xfId="10" applyNumberFormat="1" applyFont="1" applyBorder="1" applyAlignment="1">
      <alignment horizontal="center" vertical="center" wrapText="1"/>
    </xf>
    <xf numFmtId="2" fontId="1" fillId="0" borderId="1" xfId="10" applyNumberFormat="1" applyFont="1" applyBorder="1" applyAlignment="1">
      <alignment horizontal="center" vertical="center" wrapText="1"/>
    </xf>
    <xf numFmtId="1" fontId="1" fillId="0" borderId="1" xfId="10" applyNumberFormat="1" applyFont="1" applyBorder="1" applyAlignment="1">
      <alignment horizontal="center" vertical="center" wrapText="1"/>
    </xf>
    <xf numFmtId="181" fontId="6" fillId="0" borderId="1" xfId="11" applyNumberFormat="1" applyFont="1" applyBorder="1" applyAlignment="1">
      <alignment vertical="center" wrapText="1"/>
    </xf>
    <xf numFmtId="1" fontId="6" fillId="0" borderId="1" xfId="11" applyNumberFormat="1" applyFont="1" applyBorder="1" applyAlignment="1">
      <alignment vertical="center" wrapText="1"/>
    </xf>
    <xf numFmtId="178" fontId="6" fillId="0" borderId="1" xfId="11" applyNumberFormat="1" applyFont="1" applyBorder="1" applyAlignment="1">
      <alignment vertical="center" wrapText="1"/>
    </xf>
    <xf numFmtId="10" fontId="1" fillId="0" borderId="1" xfId="10" applyNumberFormat="1" applyFont="1" applyBorder="1" applyAlignment="1">
      <alignment horizontal="center" vertical="center" wrapText="1"/>
    </xf>
    <xf numFmtId="178" fontId="6" fillId="2" borderId="1" xfId="11" applyNumberFormat="1" applyFont="1" applyFill="1" applyBorder="1" applyAlignment="1">
      <alignment vertical="center" wrapText="1"/>
    </xf>
    <xf numFmtId="10" fontId="6" fillId="2" borderId="1" xfId="11" applyNumberFormat="1" applyFont="1" applyFill="1" applyBorder="1" applyAlignment="1">
      <alignment vertical="center" wrapText="1"/>
    </xf>
    <xf numFmtId="178" fontId="1" fillId="2" borderId="1" xfId="10" applyNumberFormat="1" applyFont="1" applyFill="1" applyBorder="1" applyAlignment="1">
      <alignment horizontal="center" vertical="center" wrapText="1"/>
    </xf>
    <xf numFmtId="10" fontId="1" fillId="2" borderId="1" xfId="10" applyNumberFormat="1" applyFont="1" applyFill="1" applyBorder="1" applyAlignment="1">
      <alignment horizontal="center" vertical="center" wrapText="1"/>
    </xf>
    <xf numFmtId="10" fontId="1" fillId="7" borderId="1" xfId="10" applyNumberFormat="1" applyFont="1" applyFill="1" applyBorder="1" applyAlignment="1">
      <alignment horizontal="center" vertical="center" wrapText="1"/>
    </xf>
    <xf numFmtId="0" fontId="3" fillId="8" borderId="1" xfId="2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2" fillId="0" borderId="1" xfId="10" applyBorder="1" applyAlignment="1">
      <alignment vertical="center" wrapText="1"/>
    </xf>
    <xf numFmtId="182" fontId="2" fillId="0" borderId="1" xfId="10" applyNumberForma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83" fontId="5" fillId="0" borderId="1" xfId="10" applyNumberFormat="1" applyFont="1" applyBorder="1" applyAlignment="1">
      <alignment vertical="center" wrapText="1"/>
    </xf>
    <xf numFmtId="2" fontId="2" fillId="0" borderId="1" xfId="10" applyNumberFormat="1" applyBorder="1" applyAlignment="1">
      <alignment vertical="center" wrapText="1"/>
    </xf>
    <xf numFmtId="178" fontId="2" fillId="0" borderId="2" xfId="10" applyNumberFormat="1" applyBorder="1" applyAlignment="1">
      <alignment vertical="center" wrapText="1"/>
    </xf>
    <xf numFmtId="178" fontId="2" fillId="0" borderId="1" xfId="10" applyNumberFormat="1" applyBorder="1" applyAlignment="1">
      <alignment vertical="center" wrapText="1"/>
    </xf>
    <xf numFmtId="0" fontId="5" fillId="0" borderId="1" xfId="10" applyFont="1" applyBorder="1" applyAlignment="1">
      <alignment vertical="center" wrapText="1"/>
    </xf>
    <xf numFmtId="180" fontId="2" fillId="0" borderId="1" xfId="10" applyNumberFormat="1" applyBorder="1" applyAlignment="1">
      <alignment vertical="center" wrapText="1"/>
    </xf>
    <xf numFmtId="1" fontId="2" fillId="0" borderId="1" xfId="10" applyNumberFormat="1" applyBorder="1" applyAlignment="1">
      <alignment vertical="center" wrapText="1"/>
    </xf>
    <xf numFmtId="181" fontId="2" fillId="9" borderId="1" xfId="10" applyNumberFormat="1" applyFill="1" applyBorder="1" applyAlignment="1">
      <alignment vertical="center" wrapText="1"/>
    </xf>
    <xf numFmtId="1" fontId="2" fillId="9" borderId="1" xfId="10" applyNumberFormat="1" applyFill="1" applyBorder="1" applyAlignment="1">
      <alignment vertical="center" wrapText="1"/>
    </xf>
    <xf numFmtId="176" fontId="5" fillId="0" borderId="1" xfId="10" applyNumberFormat="1" applyFont="1" applyBorder="1" applyAlignment="1">
      <alignment vertical="center" wrapText="1"/>
    </xf>
    <xf numFmtId="178" fontId="2" fillId="9" borderId="1" xfId="10" applyNumberFormat="1" applyFill="1" applyBorder="1" applyAlignment="1">
      <alignment vertical="center" wrapText="1"/>
    </xf>
    <xf numFmtId="10" fontId="5" fillId="0" borderId="1" xfId="10" applyNumberFormat="1" applyFont="1" applyBorder="1" applyAlignment="1">
      <alignment vertical="center" wrapText="1"/>
    </xf>
    <xf numFmtId="10" fontId="2" fillId="0" borderId="1" xfId="10" applyNumberFormat="1" applyBorder="1" applyAlignment="1">
      <alignment vertical="center" wrapText="1"/>
    </xf>
    <xf numFmtId="10" fontId="2" fillId="9" borderId="1" xfId="9" applyNumberFormat="1" applyFont="1" applyFill="1" applyBorder="1" applyAlignment="1">
      <alignment vertical="center" wrapText="1"/>
    </xf>
    <xf numFmtId="178" fontId="5" fillId="0" borderId="1" xfId="10" applyNumberFormat="1" applyFont="1" applyBorder="1" applyAlignment="1">
      <alignment horizontal="center" vertical="center" wrapText="1"/>
    </xf>
    <xf numFmtId="0" fontId="1" fillId="10" borderId="1" xfId="10" applyFont="1" applyFill="1" applyBorder="1" applyAlignment="1">
      <alignment horizontal="center" vertical="center" wrapText="1"/>
    </xf>
    <xf numFmtId="184" fontId="2" fillId="0" borderId="1" xfId="10" applyNumberFormat="1" applyBorder="1" applyAlignment="1">
      <alignment vertical="center" wrapText="1"/>
    </xf>
    <xf numFmtId="0" fontId="2" fillId="0" borderId="1" xfId="10" applyBorder="1" applyAlignment="1">
      <alignment horizontal="center" vertical="center"/>
    </xf>
  </cellXfs>
  <cellStyles count="13">
    <cellStyle name="Currency 2" xfId="5" xr:uid="{00000000-0005-0000-0000-000035000000}"/>
    <cellStyle name="Currency 2 3 2" xfId="4" xr:uid="{00000000-0005-0000-0000-000034000000}"/>
    <cellStyle name="Currency 2 3 2 2" xfId="12" xr:uid="{00000000-0005-0000-0000-00003D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12E852A" TargetMode="External"/><Relationship Id="rId1" Type="http://schemas.openxmlformats.org/officeDocument/2006/relationships/externalLinkPath" Target="file:///\\412E852A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F159D56F" TargetMode="External"/><Relationship Id="rId1" Type="http://schemas.openxmlformats.org/officeDocument/2006/relationships/externalLinkPath" Target="file:///\\F159D56F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75CFA730" TargetMode="External"/><Relationship Id="rId1" Type="http://schemas.openxmlformats.org/officeDocument/2006/relationships/externalLinkPath" Target="file:///\\75CFA730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6B4EAEEA" TargetMode="External"/><Relationship Id="rId1" Type="http://schemas.openxmlformats.org/officeDocument/2006/relationships/externalLinkPath" Target="file:///\\6B4EAEEA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DBD9BF6B" TargetMode="External"/><Relationship Id="rId1" Type="http://schemas.openxmlformats.org/officeDocument/2006/relationships/externalLinkPath" Target="file:///\\DBD9BF6B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Desktop\Adult%202025\MPE%20Abstract\192.168.20.8\Users\Lululin\Desktop\Adult%202025\Darcy\JLA%20Ecomm-%20MP%20Darcy%20commitment-%2009272025.xlsx?DA182708" TargetMode="External"/><Relationship Id="rId1" Type="http://schemas.openxmlformats.org/officeDocument/2006/relationships/externalLinkPath" Target="file:///\\DA182708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6D62C6DC" TargetMode="External"/><Relationship Id="rId1" Type="http://schemas.openxmlformats.org/officeDocument/2006/relationships/externalLinkPath" Target="file:///\\6D62C6D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.lin/Desktop/&#36164;&#26009;/Commitment%20sheet%20format%202023.9.6.xlsx?44AFFC51" TargetMode="External"/><Relationship Id="rId1" Type="http://schemas.openxmlformats.org/officeDocument/2006/relationships/externalLinkPath" Target="file:///\\44AFFC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CF4DCD3C" TargetMode="External"/><Relationship Id="rId1" Type="http://schemas.openxmlformats.org/officeDocument/2006/relationships/externalLinkPath" Target="file:///\\CF4DCD3C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9893B7FE" TargetMode="External"/><Relationship Id="rId1" Type="http://schemas.openxmlformats.org/officeDocument/2006/relationships/externalLinkPath" Target="file:///\\9893B7FE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3E8F4907" TargetMode="External"/><Relationship Id="rId1" Type="http://schemas.openxmlformats.org/officeDocument/2006/relationships/externalLinkPath" Target="file:///\\3E8F4907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ED7C7072" TargetMode="External"/><Relationship Id="rId1" Type="http://schemas.openxmlformats.org/officeDocument/2006/relationships/externalLinkPath" Target="file:///\\ED7C707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8A4830BB" TargetMode="External"/><Relationship Id="rId1" Type="http://schemas.openxmlformats.org/officeDocument/2006/relationships/externalLinkPath" Target="file:///\\8A4830BB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ValueSelect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C3"/>
  <sheetViews>
    <sheetView tabSelected="1" zoomScaleNormal="100" workbookViewId="0">
      <pane xSplit="2" ySplit="1" topLeftCell="C3" activePane="bottomRight" state="frozen"/>
      <selection pane="topRight"/>
      <selection pane="bottomLeft"/>
      <selection pane="bottomRight" activeCell="A4" sqref="A4:XFD92"/>
    </sheetView>
  </sheetViews>
  <sheetFormatPr defaultColWidth="9.25" defaultRowHeight="13.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42.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3" width="11.875" customWidth="1"/>
    <col min="54" max="55" width="9.25" hidden="1" customWidth="1"/>
  </cols>
  <sheetData>
    <row r="1" spans="1:55" s="1" customFormat="1" ht="63.6" customHeight="1">
      <c r="A1" s="2" t="s">
        <v>4</v>
      </c>
      <c r="B1" s="2" t="s">
        <v>5</v>
      </c>
      <c r="C1" s="3" t="s">
        <v>6</v>
      </c>
      <c r="D1" s="4" t="s">
        <v>0</v>
      </c>
      <c r="E1" s="4" t="s">
        <v>2</v>
      </c>
      <c r="F1" s="5" t="s">
        <v>7</v>
      </c>
      <c r="G1" s="3" t="s">
        <v>8</v>
      </c>
      <c r="H1" s="6" t="s">
        <v>9</v>
      </c>
      <c r="I1" s="6" t="s">
        <v>10</v>
      </c>
      <c r="J1" s="6" t="s">
        <v>11</v>
      </c>
      <c r="K1" s="6" t="s">
        <v>12</v>
      </c>
      <c r="L1" s="6" t="s">
        <v>13</v>
      </c>
      <c r="M1" s="6" t="s">
        <v>14</v>
      </c>
      <c r="N1" s="3" t="s">
        <v>15</v>
      </c>
      <c r="O1" s="3" t="s">
        <v>16</v>
      </c>
      <c r="P1" s="6" t="s">
        <v>17</v>
      </c>
      <c r="Q1" s="7" t="s">
        <v>18</v>
      </c>
      <c r="R1" s="8" t="s">
        <v>19</v>
      </c>
      <c r="S1" s="9" t="s">
        <v>20</v>
      </c>
      <c r="T1" s="10" t="s">
        <v>21</v>
      </c>
      <c r="U1" s="11" t="s">
        <v>22</v>
      </c>
      <c r="V1" s="12" t="s">
        <v>23</v>
      </c>
      <c r="W1" s="13" t="s">
        <v>24</v>
      </c>
      <c r="X1" s="13" t="s">
        <v>25</v>
      </c>
      <c r="Y1" s="13" t="s">
        <v>26</v>
      </c>
      <c r="Z1" s="14" t="s">
        <v>27</v>
      </c>
      <c r="AA1" s="15" t="s">
        <v>28</v>
      </c>
      <c r="AB1" s="16" t="s">
        <v>29</v>
      </c>
      <c r="AC1" s="17" t="s">
        <v>30</v>
      </c>
      <c r="AD1" s="2" t="s">
        <v>31</v>
      </c>
      <c r="AE1" s="18" t="s">
        <v>32</v>
      </c>
      <c r="AF1" s="2" t="s">
        <v>33</v>
      </c>
      <c r="AG1" s="19" t="s">
        <v>34</v>
      </c>
      <c r="AH1" s="18" t="s">
        <v>35</v>
      </c>
      <c r="AI1" s="18" t="s">
        <v>36</v>
      </c>
      <c r="AJ1" s="19" t="s">
        <v>37</v>
      </c>
      <c r="AK1" s="18" t="s">
        <v>38</v>
      </c>
      <c r="AL1" s="19" t="s">
        <v>39</v>
      </c>
      <c r="AM1" s="18" t="s">
        <v>40</v>
      </c>
      <c r="AN1" s="19" t="s">
        <v>41</v>
      </c>
      <c r="AO1" s="18" t="s">
        <v>42</v>
      </c>
      <c r="AP1" s="18" t="s">
        <v>43</v>
      </c>
      <c r="AQ1" s="12" t="s">
        <v>44</v>
      </c>
      <c r="AR1" s="19" t="s">
        <v>45</v>
      </c>
      <c r="AS1" s="18" t="s">
        <v>46</v>
      </c>
      <c r="AT1" s="18" t="s">
        <v>47</v>
      </c>
      <c r="AU1" s="20" t="s">
        <v>48</v>
      </c>
      <c r="AV1" s="21" t="s">
        <v>49</v>
      </c>
      <c r="AW1" s="20" t="s">
        <v>50</v>
      </c>
      <c r="AX1" s="20" t="s">
        <v>51</v>
      </c>
      <c r="AY1" s="22" t="s">
        <v>52</v>
      </c>
      <c r="AZ1" s="23" t="s">
        <v>53</v>
      </c>
      <c r="BA1" s="24" t="s">
        <v>54</v>
      </c>
      <c r="BB1" s="25" t="s">
        <v>55</v>
      </c>
      <c r="BC1" s="25" t="s">
        <v>56</v>
      </c>
    </row>
    <row r="2" spans="1:55" s="1" customFormat="1" ht="108.75" customHeight="1">
      <c r="A2" s="26">
        <v>1</v>
      </c>
      <c r="B2" s="48"/>
      <c r="C2" s="48" t="s">
        <v>57</v>
      </c>
      <c r="D2" s="27" t="s">
        <v>1</v>
      </c>
      <c r="E2" s="28"/>
      <c r="F2" s="28" t="s">
        <v>3</v>
      </c>
      <c r="G2" s="28" t="s">
        <v>58</v>
      </c>
      <c r="H2" s="28" t="s">
        <v>59</v>
      </c>
      <c r="I2" s="28" t="s">
        <v>60</v>
      </c>
      <c r="J2" s="29" t="s">
        <v>61</v>
      </c>
      <c r="K2" s="28" t="s">
        <v>62</v>
      </c>
      <c r="L2" s="28" t="s">
        <v>63</v>
      </c>
      <c r="M2" s="28" t="s">
        <v>64</v>
      </c>
      <c r="N2" s="30"/>
      <c r="O2" s="30"/>
      <c r="P2" s="28" t="s">
        <v>65</v>
      </c>
      <c r="Q2" s="31">
        <v>156.6</v>
      </c>
      <c r="R2" s="32">
        <v>7.65</v>
      </c>
      <c r="S2" s="33">
        <v>20.47</v>
      </c>
      <c r="T2" s="33">
        <v>20.47</v>
      </c>
      <c r="U2" s="34"/>
      <c r="V2" s="35" t="s">
        <v>66</v>
      </c>
      <c r="W2" s="36">
        <v>45</v>
      </c>
      <c r="X2" s="36">
        <v>35</v>
      </c>
      <c r="Y2" s="36">
        <v>20</v>
      </c>
      <c r="Z2" s="32">
        <v>2</v>
      </c>
      <c r="AA2" s="37">
        <v>1</v>
      </c>
      <c r="AB2" s="38">
        <f>IF(W2="","",W2*X2*Y2/1000000)</f>
        <v>3.15E-2</v>
      </c>
      <c r="AC2" s="39">
        <f>IF(AA2="","",65/AB2*AA2)</f>
        <v>2063.4920634920636</v>
      </c>
      <c r="AD2" s="40">
        <v>3700</v>
      </c>
      <c r="AE2" s="41">
        <f>IF(ISERROR(AD2/AC2),"",AD2/AC2)</f>
        <v>1.793076923076923</v>
      </c>
      <c r="AF2" s="28" t="s">
        <v>67</v>
      </c>
      <c r="AG2" s="42">
        <f>12.8%+10%</f>
        <v>0.22800000000000001</v>
      </c>
      <c r="AH2" s="41">
        <f>IF(ISERROR(T2*AG2),"",T2*AG2)</f>
        <v>4.66716</v>
      </c>
      <c r="AI2" s="41">
        <f>IF(ISERROR(T2+AE2+AH2),"",T2+AE2+AH2)</f>
        <v>26.930236923076922</v>
      </c>
      <c r="AJ2" s="43">
        <v>0.06</v>
      </c>
      <c r="AK2" s="41">
        <f>IF(ISERROR(AW2*AJ2),"",AW2*AJ2)</f>
        <v>2.8568571428571423</v>
      </c>
      <c r="AL2" s="43">
        <v>0.1</v>
      </c>
      <c r="AM2" s="41">
        <f>IF(ISERROR(AW2*AL2),"",AW2*AL2)</f>
        <v>4.7614285714285707</v>
      </c>
      <c r="AN2" s="43">
        <v>0.1</v>
      </c>
      <c r="AO2" s="41">
        <f>IF(ISERROR(AW2*AN2),"",AW2*AN2)</f>
        <v>4.7614285714285707</v>
      </c>
      <c r="AP2" s="41">
        <f>IF((AX2-AW2)&lt;2.5,2.5-(AX2-AW2),0)</f>
        <v>0.11928571428570933</v>
      </c>
      <c r="AQ2" s="28"/>
      <c r="AR2" s="43"/>
      <c r="AS2" s="41">
        <f>IF(ISERROR(AW2*AR2),"",AW2*AR2)</f>
        <v>0</v>
      </c>
      <c r="AT2" s="41">
        <f>IF(ISERROR(AK2+AM2+AO2+AP2+AS2),"",AK2+AM2+AO2+AP2+AS2)</f>
        <v>12.498999999999993</v>
      </c>
      <c r="AU2" s="41">
        <f>IF(ISERROR(AI2+AT2),"",AI2+AT2)</f>
        <v>39.429236923076914</v>
      </c>
      <c r="AV2" s="44">
        <f>IF(ISERROR((AW2-AU2)/AW2),"",(AW2-AU2)/AW2)</f>
        <v>0.17190321493687835</v>
      </c>
      <c r="AW2" s="41">
        <f>IF(AX2="","",AX2/1.05)</f>
        <v>47.614285714285707</v>
      </c>
      <c r="AX2" s="41">
        <f>IF(ISERROR(AY2*(1-AZ2)),"",AY2*(1-AZ2))</f>
        <v>49.994999999999997</v>
      </c>
      <c r="AY2" s="45">
        <v>99.99</v>
      </c>
      <c r="AZ2" s="43">
        <v>0.5</v>
      </c>
      <c r="BA2" s="46">
        <v>624</v>
      </c>
      <c r="BB2" s="37"/>
      <c r="BC2" s="47"/>
    </row>
    <row r="3" spans="1:55" s="1" customFormat="1" ht="108.75" customHeight="1">
      <c r="A3" s="26">
        <v>2</v>
      </c>
      <c r="B3" s="48"/>
      <c r="C3" s="48"/>
      <c r="D3" s="27" t="s">
        <v>1</v>
      </c>
      <c r="E3" s="28"/>
      <c r="F3" s="28" t="s">
        <v>3</v>
      </c>
      <c r="G3" s="28" t="s">
        <v>58</v>
      </c>
      <c r="H3" s="28" t="s">
        <v>59</v>
      </c>
      <c r="I3" s="28" t="s">
        <v>60</v>
      </c>
      <c r="J3" s="29" t="s">
        <v>61</v>
      </c>
      <c r="K3" s="28" t="s">
        <v>62</v>
      </c>
      <c r="L3" s="28" t="s">
        <v>68</v>
      </c>
      <c r="M3" s="28" t="s">
        <v>64</v>
      </c>
      <c r="N3" s="30"/>
      <c r="O3" s="30"/>
      <c r="P3" s="28" t="s">
        <v>65</v>
      </c>
      <c r="Q3" s="31">
        <v>176.3</v>
      </c>
      <c r="R3" s="32">
        <v>7.65</v>
      </c>
      <c r="S3" s="33">
        <v>23.05</v>
      </c>
      <c r="T3" s="33">
        <v>23.05</v>
      </c>
      <c r="U3" s="34"/>
      <c r="V3" s="35" t="s">
        <v>66</v>
      </c>
      <c r="W3" s="36">
        <v>45</v>
      </c>
      <c r="X3" s="36">
        <v>35</v>
      </c>
      <c r="Y3" s="36">
        <v>20</v>
      </c>
      <c r="Z3" s="32">
        <v>2</v>
      </c>
      <c r="AA3" s="37">
        <v>1</v>
      </c>
      <c r="AB3" s="38">
        <f>IF(W3="","",W3*X3*Y3/1000000)</f>
        <v>3.15E-2</v>
      </c>
      <c r="AC3" s="39">
        <f>IF(AA3="","",65/AB3*AA3)</f>
        <v>2063.4920634920636</v>
      </c>
      <c r="AD3" s="40">
        <v>3700</v>
      </c>
      <c r="AE3" s="41">
        <f>IF(ISERROR(AD3/AC3),"",AD3/AC3)</f>
        <v>1.793076923076923</v>
      </c>
      <c r="AF3" s="28" t="s">
        <v>67</v>
      </c>
      <c r="AG3" s="42">
        <f>12.8%+10%</f>
        <v>0.22800000000000001</v>
      </c>
      <c r="AH3" s="41">
        <f>IF(ISERROR(T3*AG3),"",T3*AG3)</f>
        <v>5.2554000000000007</v>
      </c>
      <c r="AI3" s="41">
        <f>IF(ISERROR(T3+AE3+AH3),"",T3+AE3+AH3)</f>
        <v>30.098476923076927</v>
      </c>
      <c r="AJ3" s="43">
        <v>0.06</v>
      </c>
      <c r="AK3" s="41">
        <f>IF(ISERROR(AW3*AJ3),"",AW3*AJ3)</f>
        <v>3.2854285714285711</v>
      </c>
      <c r="AL3" s="43">
        <v>0.1</v>
      </c>
      <c r="AM3" s="41">
        <f>IF(ISERROR(AW3*AL3),"",AW3*AL3)</f>
        <v>5.475714285714286</v>
      </c>
      <c r="AN3" s="43">
        <v>0.1</v>
      </c>
      <c r="AO3" s="41">
        <f>IF(ISERROR(AW3*AN3),"",AW3*AN3)</f>
        <v>5.475714285714286</v>
      </c>
      <c r="AP3" s="41">
        <f>IF((AX3-AW3)&lt;2.5,2.5-(AX3-AW3),0)</f>
        <v>0</v>
      </c>
      <c r="AQ3" s="28"/>
      <c r="AR3" s="43"/>
      <c r="AS3" s="41">
        <f>IF(ISERROR(AW3*AR3),"",AW3*AR3)</f>
        <v>0</v>
      </c>
      <c r="AT3" s="41">
        <f>IF(ISERROR(AK3+AM3+AO3+AP3+AS3),"",AK3+AM3+AO3+AP3+AS3)</f>
        <v>14.236857142857144</v>
      </c>
      <c r="AU3" s="41">
        <f>IF(ISERROR(AI3+AT3),"",AI3+AT3)</f>
        <v>44.33533406593407</v>
      </c>
      <c r="AV3" s="44">
        <f>IF(ISERROR((AW3-AU3)/AW3),"",(AW3-AU3)/AW3)</f>
        <v>0.19032784121696186</v>
      </c>
      <c r="AW3" s="41">
        <f>IF(AX3="","",AX3/1.05)</f>
        <v>54.757142857142853</v>
      </c>
      <c r="AX3" s="41">
        <f>IF(ISERROR(AY3*(1-AZ3)),"",AY3*(1-AZ3))</f>
        <v>57.494999999999997</v>
      </c>
      <c r="AY3" s="45">
        <v>114.99</v>
      </c>
      <c r="AZ3" s="43">
        <v>0.5</v>
      </c>
      <c r="BA3" s="46">
        <v>676</v>
      </c>
      <c r="BB3" s="37"/>
      <c r="BC3" s="47"/>
    </row>
  </sheetData>
  <protectedRanges>
    <protectedRange sqref="E2:E3 AZ2:AZ3 M2:M3 Z2:AX3 B2:B3 P2:V3" name="Range1"/>
    <protectedRange sqref="K2:K3" name="Range1_1"/>
    <protectedRange sqref="C2:C3" name="Range1_2"/>
    <protectedRange sqref="AY2:AY3" name="Range1_3"/>
    <protectedRange sqref="N2:O3" name="Range1_5"/>
    <protectedRange sqref="L2:L3" name="Range1_4"/>
  </protectedRanges>
  <mergeCells count="2">
    <mergeCell ref="B2:B3"/>
    <mergeCell ref="C2:C3"/>
  </mergeCells>
  <phoneticPr fontId="10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#REF!</xm:f>
          </x14:formula1>
          <xm:sqref>E2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2000000}">
          <x14:formula1>
            <xm:f>'file:///\\192.168.20.8\Users\Lululin\Library\Containers\com.microsoft.Outlook\Data\tmp\Outlook Temp\Users\Lululin\Desktop\Adult 2025\MPE Abstract\192.168.20.8\Users\Lululin\Desktop\Adult 2025\Darcy\[JLA Ecomm- MP Darcy commitment- 09272025.xlsx]ValueSelect'!#REF!</xm:f>
          </x14:formula1>
          <xm:sqref>E3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4000000}">
          <x14:formula1>
            <xm:f>'file:///\\192.168.20.8\Users\Lululin\Library\Containers\com.microsoft.Outlook\Data\tmp\Outlook Temp\Users\Lululin\Desktop\Adult 2025\MPE Abstract\192.168.20.8\Users\Lululin\Desktop\Adult 2025\Darcy\[JLA Ecomm- MP Darcy commitment- 09272025.xlsx]Data'!#REF!</xm:f>
          </x14:formula1>
          <xm:sqref>P2:P3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V2:V3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  <arrUserId title="Range1_4" rangeCreator="" othersAccessPermission="edit"/>
  </rangeList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2024-02-11T14:17:00Z</dcterms:created>
  <dcterms:modified xsi:type="dcterms:W3CDTF">2026-05-20T02:25:15Z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