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FDB8AF-87D4-475D-AE46-D1283554C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7" l="1"/>
  <c r="AY4" i="7"/>
  <c r="AX4" i="7" s="1"/>
  <c r="AG4" i="7"/>
  <c r="AC4" i="7"/>
  <c r="AE4" i="7" s="1"/>
  <c r="AB4" i="7"/>
  <c r="BA3" i="7"/>
  <c r="AY3" i="7"/>
  <c r="AX3" i="7"/>
  <c r="AW3" i="7" s="1"/>
  <c r="AG3" i="7"/>
  <c r="AC3" i="7"/>
  <c r="AE3" i="7" s="1"/>
  <c r="AB3" i="7"/>
  <c r="BA2" i="7"/>
  <c r="AY2" i="7"/>
  <c r="AX2" i="7"/>
  <c r="AW2" i="7" s="1"/>
  <c r="AG2" i="7"/>
  <c r="AB2" i="7"/>
  <c r="AC2" i="7" s="1"/>
  <c r="AE2" i="7" s="1"/>
  <c r="AS3" i="7" l="1"/>
  <c r="AK3" i="7"/>
  <c r="AH4" i="7"/>
  <c r="AI4" i="7" s="1"/>
  <c r="AW4" i="7"/>
  <c r="AP4" i="7" s="1"/>
  <c r="AS2" i="7"/>
  <c r="AK2" i="7"/>
  <c r="AM2" i="7"/>
  <c r="AO2" i="7"/>
  <c r="AH3" i="7"/>
  <c r="AI3" i="7" s="1"/>
  <c r="AH2" i="7"/>
  <c r="AI2" i="7" s="1"/>
  <c r="AM3" i="7"/>
  <c r="AP2" i="7"/>
  <c r="AO3" i="7"/>
  <c r="AP3" i="7"/>
  <c r="AT3" i="7" l="1"/>
  <c r="AU3" i="7"/>
  <c r="AV3" i="7" s="1"/>
  <c r="AO4" i="7"/>
  <c r="AM4" i="7"/>
  <c r="AS4" i="7"/>
  <c r="AK4" i="7"/>
  <c r="AT2" i="7"/>
  <c r="AU2" i="7" s="1"/>
  <c r="AV2" i="7" s="1"/>
  <c r="AT4" i="7" l="1"/>
  <c r="AU4" i="7" s="1"/>
  <c r="AV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<sst xmlns="http://schemas.openxmlformats.org/spreadsheetml/2006/main" count="94" uniqueCount="71">
  <si>
    <t>Aveline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</si>
  <si>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</si>
  <si>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</si>
  <si>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</si>
  <si>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</si>
  <si>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</si>
  <si>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</si>
  <si>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</si>
  <si>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</si>
  <si>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</si>
  <si>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</si>
  <si>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</si>
  <si>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</si>
  <si>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</si>
  <si>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</si>
  <si>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</si>
  <si>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</si>
  <si>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</si>
  <si>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</si>
  <si>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</si>
  <si>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</si>
  <si>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</si>
  <si>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</si>
  <si>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</si>
  <si>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</si>
  <si>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</si>
  <si>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</si>
  <si>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</si>
  <si>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</si>
  <si>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</si>
  <si>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</si>
  <si>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</si>
  <si>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</si>
  <si>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</si>
  <si>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</si>
  <si>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</si>
  <si>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</si>
  <si>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</si>
  <si>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</si>
  <si>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</si>
  <si>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</si>
  <si>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</si>
  <si>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</si>
  <si>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</si>
  <si>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</si>
  <si>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</si>
  <si>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</si>
  <si>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</si>
  <si>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</si>
  <si>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</si>
  <si>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</si>
  <si>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</si>
  <si>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</si>
  <si>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</si>
  <si>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</si>
  <si>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Initial Order Qnty</t>
  </si>
  <si>
    <t>Qnty- Omni</t>
  </si>
  <si>
    <t>Qnty- Pureplay</t>
  </si>
  <si>
    <t>19WH1113P-C</t>
  </si>
  <si>
    <t>9 Pieces Jacquard Comforter Set</t>
  </si>
  <si>
    <t>Comforter/Shams:100% jacquard chenille face, 100% polyester. 95gsm solid MF reverse. Dec pillow: poly cover, poly filling. Poly bedskirt and euro shams.</t>
  </si>
  <si>
    <t>Face: 100% polyester jacquard
Back: 100% polyester</t>
  </si>
  <si>
    <t>Full/Queen: 
Comforter: 90x90"
Sham: 20x26"#2
Bed Skirt: 60x80+15"
Euro Sham: 26x26"#2
Pillow: 18x18"
Pillow: 12x18"
Pillow: 16x16"</t>
  </si>
  <si>
    <t>Blue</t>
  </si>
  <si>
    <t>Set</t>
  </si>
  <si>
    <t>Compressed/Knocked Down</t>
  </si>
  <si>
    <t>9404.40.9022</t>
  </si>
  <si>
    <t>King: 
Comforter: 104x92"
Sham: 20x36"#2
Bed Skirt: 78x80+15"
Euro Sham:  26x26"#2
Pillow: 18x18"
Pillow: 12x18"
Pillow: 16x16"</t>
  </si>
  <si>
    <t>Cal King: 
Comforter: 104x98"
Sham: 20x36"#2
Bed Skirt: 72x84+15"
Euro Sham:  26x26"#2
Pillow: 18x18"
Pillow: 12x18"
Pillow: 16x16"</t>
  </si>
  <si>
    <t>Comforter/Shams:100% jacquard chenille face, 100% polyester. 95gsm solid MF reverse. Dec pillow: poly cover, poly filling. Poly bedskirt and euro shams.</t>
    <phoneticPr fontId="12" type="noConversion"/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</si>
  <si>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9 Pieces Jacquard Comforter Set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</si>
</sst>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8" formatCode="0.00_);[Red]\(0.00\)"/>
    <numFmt numFmtId="179" formatCode="0.0"/>
    <numFmt numFmtId="180" formatCode="[$¥-478]#,##0.00"/>
    <numFmt numFmtId="181" formatCode="&quot;$&quot;#,##0.00_);[Red]\(&quot;$&quot;#,##0.00\)"/>
    <numFmt numFmtId="182" formatCode="[$$-481]#,##0.00_);[Red]\([$$-481]#,##0.00\)"/>
    <numFmt numFmtId="183" formatCode="0.000"/>
    <numFmt numFmtId="184" formatCode="&quot;$&quot;#,##0.00"/>
    <numFmt numFmtId="185" formatCode="_(&quot;$&quot;* #,##0.00_);_(&quot;$&quot;* \(#,##0.00\);_(&quot;$&quot;* &quot;-&quot;??_);_(@_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185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9" fontId="2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4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182" fontId="2" fillId="0" borderId="1" xfId="11" applyNumberForma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4" fontId="9" fillId="6" borderId="1" xfId="12" applyNumberFormat="1" applyFont="1" applyFill="1" applyBorder="1" applyAlignment="1">
      <alignment vertical="center" wrapText="1"/>
    </xf>
    <xf numFmtId="184" fontId="1" fillId="7" borderId="2" xfId="11" applyNumberFormat="1" applyFont="1" applyFill="1" applyBorder="1" applyAlignment="1">
      <alignment horizontal="center" vertical="center" wrapText="1"/>
    </xf>
    <xf numFmtId="178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4" fontId="2" fillId="8" borderId="1" xfId="5" applyNumberFormat="1" applyFont="1" applyFill="1" applyBorder="1" applyAlignment="1">
      <alignment vertical="center" wrapText="1"/>
    </xf>
    <xf numFmtId="184" fontId="2" fillId="0" borderId="2" xfId="11" applyNumberFormat="1" applyBorder="1" applyAlignment="1">
      <alignment vertical="center" wrapText="1"/>
    </xf>
    <xf numFmtId="184" fontId="1" fillId="6" borderId="1" xfId="11" applyNumberFormat="1" applyFont="1" applyFill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9" fontId="1" fillId="0" borderId="1" xfId="11" applyNumberFormat="1" applyFont="1" applyBorder="1" applyAlignment="1">
      <alignment horizontal="center" vertical="center" wrapText="1"/>
    </xf>
    <xf numFmtId="184" fontId="2" fillId="0" borderId="1" xfId="11" applyNumberFormat="1" applyBorder="1" applyAlignment="1">
      <alignment vertical="center" wrapText="1"/>
    </xf>
    <xf numFmtId="179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83" fontId="9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83" fontId="2" fillId="8" borderId="1" xfId="11" applyNumberFormat="1" applyFill="1" applyBorder="1" applyAlignment="1">
      <alignment vertical="center" wrapText="1"/>
    </xf>
    <xf numFmtId="1" fontId="9" fillId="0" borderId="1" xfId="12" applyNumberFormat="1" applyFont="1" applyBorder="1" applyAlignment="1">
      <alignment vertical="center" wrapText="1"/>
    </xf>
    <xf numFmtId="184" fontId="9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1" fontId="2" fillId="0" borderId="1" xfId="11" applyNumberFormat="1" applyBorder="1" applyAlignment="1">
      <alignment vertical="center" wrapText="1"/>
    </xf>
    <xf numFmtId="184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4" fontId="9" fillId="2" borderId="1" xfId="12" applyNumberFormat="1" applyFont="1" applyFill="1" applyBorder="1" applyAlignment="1">
      <alignment vertical="center" wrapText="1"/>
    </xf>
    <xf numFmtId="10" fontId="9" fillId="2" borderId="1" xfId="12" applyNumberFormat="1" applyFont="1" applyFill="1" applyBorder="1" applyAlignment="1">
      <alignment vertical="center" wrapText="1"/>
    </xf>
    <xf numFmtId="184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10" fontId="2" fillId="8" borderId="1" xfId="9" applyNumberFormat="1" applyFont="1" applyFill="1" applyBorder="1" applyAlignment="1">
      <alignment vertical="center" wrapText="1"/>
    </xf>
    <xf numFmtId="184" fontId="2" fillId="5" borderId="1" xfId="11" applyNumberFormat="1" applyFill="1" applyBorder="1" applyAlignment="1">
      <alignment horizontal="center" vertical="center" wrapText="1"/>
    </xf>
    <xf numFmtId="10" fontId="1" fillId="9" borderId="1" xfId="11" applyNumberFormat="1" applyFont="1" applyFill="1" applyBorder="1" applyAlignment="1">
      <alignment horizontal="center" vertical="center" wrapText="1"/>
    </xf>
    <xf numFmtId="0" fontId="2" fillId="10" borderId="1" xfId="11" applyFill="1" applyBorder="1" applyAlignment="1">
      <alignment vertical="center" wrapText="1"/>
    </xf>
    <xf numFmtId="176" fontId="2" fillId="0" borderId="1" xfId="11" applyNumberFormat="1" applyBorder="1" applyAlignment="1">
      <alignment vertical="center" wrapText="1"/>
    </xf>
    <xf numFmtId="176" fontId="2" fillId="10" borderId="1" xfId="11" applyNumberFormat="1" applyFill="1" applyBorder="1" applyAlignment="1">
      <alignment vertical="center" wrapText="1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vertical="center"/>
    </xf>
  </cellXfs>
  <cellStyles count="13">
    <cellStyle name="Currency 2" xfId="5" xr:uid="{00000000-0005-0000-0000-000018000000}"/>
    <cellStyle name="Currency 2 3 2" xfId="4" xr:uid="{00000000-0005-0000-0000-000013000000}"/>
    <cellStyle name="Currency 2 3 2 2" xfId="10" xr:uid="{00000000-0005-0000-0000-000037000000}"/>
    <cellStyle name="Currency_Sheet1 2" xfId="1" xr:uid="{00000000-0005-0000-0000-000001000000}"/>
    <cellStyle name="Normal 2" xfId="11" xr:uid="{00000000-0005-0000-0000-000039000000}"/>
    <cellStyle name="Normal 2 18 2" xfId="12" xr:uid="{00000000-0005-0000-0000-00003B000000}"/>
    <cellStyle name="Normal 33" xfId="2" xr:uid="{00000000-0005-0000-0000-000002000000}"/>
    <cellStyle name="Normal_Copy of Request For Quote -- updated by VV on 043008 FINAL FINAL (4)" xfId="7" xr:uid="{00000000-0005-0000-0000-00002A000000}"/>
    <cellStyle name="Percent 2" xfId="9" xr:uid="{00000000-0005-0000-0000-00002E000000}"/>
    <cellStyle name="Style 1" xfId="6" xr:uid="{00000000-0005-0000-0000-00001E000000}"/>
    <cellStyle name="常规" xfId="0" builtinId="0"/>
    <cellStyle name="常规 8" xfId="8" xr:uid="{00000000-0005-0000-0000-00002B000000}"/>
    <cellStyle name="样式 1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4"/>
  <sheetViews>
    <sheetView tabSelected="1" zoomScale="106" zoomScaleNormal="106" workbookViewId="0">
      <pane xSplit="2" ySplit="1" topLeftCell="M2" activePane="bottomRight" state="frozen"/>
      <selection pane="topRight"/>
      <selection pane="bottomLeft"/>
      <selection pane="bottomRight" activeCell="S4" sqref="S4"/>
    </sheetView>
  </sheetViews>
  <sheetFormatPr defaultColWidth="9.25" defaultRowHeight="13.5" x14ac:dyDescent="0.15"/>
  <cols>
    <col min="2" max="2" width="37.75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4.625" customWidth="1"/>
    <col min="12" max="12" width="26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2.375" customWidth="1"/>
    <col min="41" max="41" width="14.625" customWidth="1"/>
    <col min="42" max="42" width="11.75" customWidth="1"/>
    <col min="43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5.375" customWidth="1"/>
    <col min="54" max="54" width="12.875" hidden="1" customWidth="1"/>
    <col min="55" max="55" width="14.375" hidden="1" customWidth="1"/>
  </cols>
  <sheetData>
    <row r="1" spans="1:55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38" t="s">
        <v>52</v>
      </c>
      <c r="AY1" s="40" t="s">
        <v>53</v>
      </c>
      <c r="AZ1" s="41" t="s">
        <v>54</v>
      </c>
      <c r="BA1" s="44" t="s">
        <v>55</v>
      </c>
      <c r="BB1" s="45" t="s">
        <v>56</v>
      </c>
      <c r="BC1" s="45" t="s">
        <v>57</v>
      </c>
    </row>
    <row r="2" spans="1:55" s="1" customFormat="1" ht="108.95" customHeight="1" x14ac:dyDescent="0.15">
      <c r="A2" s="5">
        <v>1</v>
      </c>
      <c r="B2" s="48"/>
      <c r="C2" s="49" t="s">
        <v>58</v>
      </c>
      <c r="D2" s="6" t="s">
        <v>2</v>
      </c>
      <c r="E2" s="9"/>
      <c r="F2" s="9" t="s">
        <v>4</v>
      </c>
      <c r="G2" s="9" t="s">
        <v>0</v>
      </c>
      <c r="H2" s="9" t="s">
        <v>70</v>
      </c>
      <c r="I2" s="9" t="s">
        <v>59</v>
      </c>
      <c r="J2" s="10" t="s">
        <v>69</v>
      </c>
      <c r="K2" s="9" t="s">
        <v>61</v>
      </c>
      <c r="L2" s="11" t="s">
        <v>62</v>
      </c>
      <c r="M2" s="9" t="s">
        <v>63</v>
      </c>
      <c r="N2" s="12"/>
      <c r="O2" s="12"/>
      <c r="P2" s="9" t="s">
        <v>64</v>
      </c>
      <c r="Q2" s="17">
        <v>194.3</v>
      </c>
      <c r="R2" s="18">
        <v>7.75</v>
      </c>
      <c r="S2" s="19">
        <v>25.07</v>
      </c>
      <c r="T2" s="20">
        <v>25.07</v>
      </c>
      <c r="U2" s="24"/>
      <c r="V2" s="9" t="s">
        <v>65</v>
      </c>
      <c r="W2" s="25">
        <v>46</v>
      </c>
      <c r="X2" s="25">
        <v>36</v>
      </c>
      <c r="Y2" s="25">
        <v>25</v>
      </c>
      <c r="Z2" s="18">
        <v>2</v>
      </c>
      <c r="AA2" s="29">
        <v>1</v>
      </c>
      <c r="AB2" s="30">
        <f>IF(W2="","",W2*X2*Y2/1000000)</f>
        <v>4.1399999999999999E-2</v>
      </c>
      <c r="AC2" s="33">
        <f>IF(AA2="","",65/AB2*AA2)</f>
        <v>1570.0483091787439</v>
      </c>
      <c r="AD2" s="34">
        <v>3700</v>
      </c>
      <c r="AE2" s="35">
        <f>IF(ISERROR(AD2/AC2),"",AD2/AC2)</f>
        <v>2.3566153846153846</v>
      </c>
      <c r="AF2" s="9" t="s">
        <v>66</v>
      </c>
      <c r="AG2" s="37">
        <f t="shared" ref="AG2:AG4" si="0">12.8%+15%</f>
        <v>0.27800000000000002</v>
      </c>
      <c r="AH2" s="35">
        <f>IF(ISERROR(T2*AG2),"",T2*AG2)</f>
        <v>6.9694600000000007</v>
      </c>
      <c r="AI2" s="35">
        <f>IF(ISERROR(T2+AE2+AH2),"",T2+AE2+AH2)</f>
        <v>34.396075384615386</v>
      </c>
      <c r="AJ2" s="37">
        <v>0.06</v>
      </c>
      <c r="AK2" s="35">
        <f>IF(ISERROR(AW2*AJ2),"",AW2*AJ2)</f>
        <v>3.8568571428571428</v>
      </c>
      <c r="AL2" s="37">
        <v>0.1</v>
      </c>
      <c r="AM2" s="35">
        <f>IF(ISERROR(AW2*AL2),"",AW2*AL2)</f>
        <v>6.4280952380952385</v>
      </c>
      <c r="AN2" s="37">
        <v>0.1</v>
      </c>
      <c r="AO2" s="35">
        <f>IF(ISERROR(AW2*AN2),"",AW2*AN2)</f>
        <v>6.4280952380952385</v>
      </c>
      <c r="AP2" s="35">
        <f>IF((AX2-AW2)&lt;2.5,2.5-(AX2-AW2),0)</f>
        <v>0</v>
      </c>
      <c r="AQ2" s="9"/>
      <c r="AR2" s="37"/>
      <c r="AS2" s="35">
        <f>IF(ISERROR(AW2*AR2),"",AW2*AR2)</f>
        <v>0</v>
      </c>
      <c r="AT2" s="35">
        <f>IF(ISERROR(AK2+AM2+AO2+AP2+AS2),"",AK2+AM2+AO2+AP2+AS2)</f>
        <v>16.713047619047622</v>
      </c>
      <c r="AU2" s="35">
        <f>IF(ISERROR(AI2+AT2),"",AI2+AT2)</f>
        <v>51.109123003663008</v>
      </c>
      <c r="AV2" s="42">
        <f>IF(ISERROR((AW2-AU2)/AW2),"",(AW2-AU2)/AW2)</f>
        <v>0.20491030218762643</v>
      </c>
      <c r="AW2" s="35">
        <f>IF(AX2="","",AX2/1.05)</f>
        <v>64.280952380952385</v>
      </c>
      <c r="AX2" s="35">
        <f>IF(ISERROR(AY2*(1-AZ2)),"",AY2*(1-AZ2))</f>
        <v>67.495000000000005</v>
      </c>
      <c r="AY2" s="43">
        <f>129.99+5</f>
        <v>134.99</v>
      </c>
      <c r="AZ2" s="37">
        <v>0.5</v>
      </c>
      <c r="BA2" s="46">
        <f t="shared" ref="BA2:BA4" si="1">SUM(BB2:BC2)</f>
        <v>310</v>
      </c>
      <c r="BB2" s="47">
        <v>130</v>
      </c>
      <c r="BC2" s="45">
        <v>180</v>
      </c>
    </row>
    <row r="3" spans="1:55" s="1" customFormat="1" ht="108.95" customHeight="1" x14ac:dyDescent="0.15">
      <c r="A3" s="5">
        <v>2</v>
      </c>
      <c r="B3" s="48"/>
      <c r="C3" s="49" t="s">
        <v>58</v>
      </c>
      <c r="D3" s="6" t="s">
        <v>2</v>
      </c>
      <c r="E3" s="9"/>
      <c r="F3" s="9" t="s">
        <v>4</v>
      </c>
      <c r="G3" s="9" t="s">
        <v>0</v>
      </c>
      <c r="H3" s="9" t="s">
        <v>70</v>
      </c>
      <c r="I3" s="9" t="s">
        <v>59</v>
      </c>
      <c r="J3" s="10" t="s">
        <v>60</v>
      </c>
      <c r="K3" s="9" t="s">
        <v>61</v>
      </c>
      <c r="L3" s="11" t="s">
        <v>67</v>
      </c>
      <c r="M3" s="9" t="s">
        <v>63</v>
      </c>
      <c r="N3" s="12"/>
      <c r="O3" s="12"/>
      <c r="P3" s="9" t="s">
        <v>64</v>
      </c>
      <c r="Q3" s="17">
        <v>210.79</v>
      </c>
      <c r="R3" s="18">
        <v>7.75</v>
      </c>
      <c r="S3" s="19">
        <v>27.2</v>
      </c>
      <c r="T3" s="20">
        <v>27.2</v>
      </c>
      <c r="U3" s="24"/>
      <c r="V3" s="9" t="s">
        <v>65</v>
      </c>
      <c r="W3" s="25">
        <v>46</v>
      </c>
      <c r="X3" s="25">
        <v>36</v>
      </c>
      <c r="Y3" s="25">
        <v>27</v>
      </c>
      <c r="Z3" s="18">
        <v>2</v>
      </c>
      <c r="AA3" s="29">
        <v>1</v>
      </c>
      <c r="AB3" s="30">
        <f>IF(W3="","",W3*X3*Y3/1000000)</f>
        <v>4.4712000000000002E-2</v>
      </c>
      <c r="AC3" s="33">
        <f>IF(AA3="","",65/AB3*AA3)</f>
        <v>1453.7484344247628</v>
      </c>
      <c r="AD3" s="34">
        <v>3700</v>
      </c>
      <c r="AE3" s="35">
        <f>IF(ISERROR(AD3/AC3),"",AD3/AC3)</f>
        <v>2.5451446153846158</v>
      </c>
      <c r="AF3" s="9" t="s">
        <v>66</v>
      </c>
      <c r="AG3" s="37">
        <f t="shared" si="0"/>
        <v>0.27800000000000002</v>
      </c>
      <c r="AH3" s="35">
        <f>IF(ISERROR(T3*AG3),"",T3*AG3)</f>
        <v>7.5616000000000003</v>
      </c>
      <c r="AI3" s="35">
        <f>IF(ISERROR(T3+AE3+AH3),"",T3+AE3+AH3)</f>
        <v>37.306744615384616</v>
      </c>
      <c r="AJ3" s="37">
        <v>0.06</v>
      </c>
      <c r="AK3" s="35">
        <f>IF(ISERROR(AW3*AJ3),"",AW3*AJ3)</f>
        <v>4.1425714285714283</v>
      </c>
      <c r="AL3" s="37">
        <v>0.1</v>
      </c>
      <c r="AM3" s="35">
        <f>IF(ISERROR(AW3*AL3),"",AW3*AL3)</f>
        <v>6.9042857142857148</v>
      </c>
      <c r="AN3" s="37">
        <v>0.1</v>
      </c>
      <c r="AO3" s="35">
        <f>IF(ISERROR(AW3*AN3),"",AW3*AN3)</f>
        <v>6.9042857142857148</v>
      </c>
      <c r="AP3" s="35">
        <f>IF((AX3-AW3)&lt;2.5,2.5-(AX3-AW3),0)</f>
        <v>0</v>
      </c>
      <c r="AQ3" s="9"/>
      <c r="AR3" s="37"/>
      <c r="AS3" s="35">
        <f>IF(ISERROR(AW3*AR3),"",AW3*AR3)</f>
        <v>0</v>
      </c>
      <c r="AT3" s="35">
        <f>IF(ISERROR(AK3+AM3+AO3+AP3+AS3),"",AK3+AM3+AO3+AP3+AS3)</f>
        <v>17.951142857142855</v>
      </c>
      <c r="AU3" s="35">
        <f>IF(ISERROR(AI3+AT3),"",AI3+AT3)</f>
        <v>55.257887472527472</v>
      </c>
      <c r="AV3" s="42">
        <f>IF(ISERROR((AW3-AU3)/AW3),"",(AW3-AU3)/AW3)</f>
        <v>0.19965815785704058</v>
      </c>
      <c r="AW3" s="35">
        <f>IF(AX3="","",AX3/1.05)</f>
        <v>69.042857142857144</v>
      </c>
      <c r="AX3" s="35">
        <f>IF(ISERROR(AY3*(1-AZ3)),"",AY3*(1-AZ3))</f>
        <v>72.495000000000005</v>
      </c>
      <c r="AY3" s="43">
        <f>139.99+5</f>
        <v>144.99</v>
      </c>
      <c r="AZ3" s="37">
        <v>0.5</v>
      </c>
      <c r="BA3" s="46">
        <f t="shared" si="1"/>
        <v>280</v>
      </c>
      <c r="BB3" s="47">
        <v>100</v>
      </c>
      <c r="BC3" s="45">
        <v>180</v>
      </c>
    </row>
    <row r="4" spans="1:55" s="1" customFormat="1" ht="108.95" customHeight="1" x14ac:dyDescent="0.15">
      <c r="A4" s="5">
        <v>3</v>
      </c>
      <c r="B4" s="48"/>
      <c r="C4" s="49" t="s">
        <v>58</v>
      </c>
      <c r="D4" s="6" t="s">
        <v>2</v>
      </c>
      <c r="E4" s="9"/>
      <c r="F4" s="9" t="s">
        <v>4</v>
      </c>
      <c r="G4" s="9" t="s">
        <v>0</v>
      </c>
      <c r="H4" s="9" t="s">
        <v>70</v>
      </c>
      <c r="I4" s="9" t="s">
        <v>59</v>
      </c>
      <c r="J4" s="10" t="s">
        <v>60</v>
      </c>
      <c r="K4" s="9" t="s">
        <v>61</v>
      </c>
      <c r="L4" s="11" t="s">
        <v>68</v>
      </c>
      <c r="M4" s="9" t="s">
        <v>63</v>
      </c>
      <c r="N4" s="12"/>
      <c r="O4" s="12"/>
      <c r="P4" s="9" t="s">
        <v>64</v>
      </c>
      <c r="Q4" s="17">
        <v>217.58</v>
      </c>
      <c r="R4" s="18">
        <v>7.75</v>
      </c>
      <c r="S4" s="19">
        <v>28.07</v>
      </c>
      <c r="T4" s="20">
        <v>28.07</v>
      </c>
      <c r="U4" s="24"/>
      <c r="V4" s="9" t="s">
        <v>65</v>
      </c>
      <c r="W4" s="25">
        <v>46</v>
      </c>
      <c r="X4" s="25">
        <v>36</v>
      </c>
      <c r="Y4" s="25">
        <v>27</v>
      </c>
      <c r="Z4" s="18">
        <v>2</v>
      </c>
      <c r="AA4" s="29">
        <v>1</v>
      </c>
      <c r="AB4" s="30">
        <f>IF(W4="","",W4*X4*Y4/1000000)</f>
        <v>4.4712000000000002E-2</v>
      </c>
      <c r="AC4" s="33">
        <f>IF(AA4="","",65/AB4*AA4)</f>
        <v>1453.7484344247628</v>
      </c>
      <c r="AD4" s="34">
        <v>3700</v>
      </c>
      <c r="AE4" s="35">
        <f>IF(ISERROR(AD4/AC4),"",AD4/AC4)</f>
        <v>2.5451446153846158</v>
      </c>
      <c r="AF4" s="9" t="s">
        <v>66</v>
      </c>
      <c r="AG4" s="37">
        <f t="shared" si="0"/>
        <v>0.27800000000000002</v>
      </c>
      <c r="AH4" s="35">
        <f>IF(ISERROR(T4*AG4),"",T4*AG4)</f>
        <v>7.8034600000000012</v>
      </c>
      <c r="AI4" s="35">
        <f>IF(ISERROR(T4+AE4+AH4),"",T4+AE4+AH4)</f>
        <v>38.418604615384616</v>
      </c>
      <c r="AJ4" s="37">
        <v>0.06</v>
      </c>
      <c r="AK4" s="35">
        <f>IF(ISERROR(AW4*AJ4),"",AW4*AJ4)</f>
        <v>4.2854285714285716</v>
      </c>
      <c r="AL4" s="37">
        <v>0.1</v>
      </c>
      <c r="AM4" s="35">
        <f>IF(ISERROR(AW4*AL4),"",AW4*AL4)</f>
        <v>7.1423809523809529</v>
      </c>
      <c r="AN4" s="37">
        <v>0.1</v>
      </c>
      <c r="AO4" s="35">
        <f>IF(ISERROR(AW4*AN4),"",AW4*AN4)</f>
        <v>7.1423809523809529</v>
      </c>
      <c r="AP4" s="35">
        <f>IF((AX4-AW4)&lt;2.5,2.5-(AX4-AW4),0)</f>
        <v>0</v>
      </c>
      <c r="AQ4" s="9"/>
      <c r="AR4" s="37"/>
      <c r="AS4" s="35">
        <f>IF(ISERROR(AW4*AR4),"",AW4*AR4)</f>
        <v>0</v>
      </c>
      <c r="AT4" s="35">
        <f>IF(ISERROR(AK4+AM4+AO4+AP4+AS4),"",AK4+AM4+AO4+AP4+AS4)</f>
        <v>18.570190476190479</v>
      </c>
      <c r="AU4" s="35">
        <f>IF(ISERROR(AI4+AT4),"",AI4+AT4)</f>
        <v>56.988795091575099</v>
      </c>
      <c r="AV4" s="42">
        <f>IF(ISERROR((AW4-AU4)/AW4),"",(AW4-AU4)/AW4)</f>
        <v>0.20210367562965725</v>
      </c>
      <c r="AW4" s="35">
        <f>IF(AX4="","",AX4/1.05)</f>
        <v>71.423809523809524</v>
      </c>
      <c r="AX4" s="35">
        <f>IF(ISERROR(AY4*(1-AZ4)),"",AY4*(1-AZ4))</f>
        <v>74.995000000000005</v>
      </c>
      <c r="AY4" s="43">
        <f>144.99+5</f>
        <v>149.99</v>
      </c>
      <c r="AZ4" s="37">
        <v>0.5</v>
      </c>
      <c r="BA4" s="46">
        <f t="shared" si="1"/>
        <v>130</v>
      </c>
      <c r="BB4" s="47">
        <v>50</v>
      </c>
      <c r="BC4" s="45">
        <v>80</v>
      </c>
    </row>
  </sheetData>
  <protectedRanges>
    <protectedRange sqref="AZ2:AZ4 E2:E4 B2:B4 M2:M4 P2:V4 Z2:AX4" name="Range1"/>
    <protectedRange sqref="K2:K4" name="Range1_1"/>
    <protectedRange sqref="C2:C4" name="Range1_2"/>
    <protectedRange sqref="AY2:AY3" name="Range1_3"/>
    <protectedRange sqref="N2:O4" name="Range1_5"/>
  </protectedRanges>
  <mergeCells count="1">
    <mergeCell ref="B2:B4"/>
  </mergeCells>
  <phoneticPr fontId="12" type="noConversion"/>
  <dataValidations count="1">
    <dataValidation type="list" allowBlank="1" showInputMessage="1" showErrorMessage="1" sqref="E3:E4 P2:P4" xr:uid="{00000000-0002-0000-0100-000002000000}"/>
  </dataValidations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" rangeCreator="" othersAccessPermission="edit"/>
  </rangeList>
  <rangeList sheetStid="21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2024-02-08T06:17:00Z</dcterms:created>
  <dcterms:modified xsi:type="dcterms:W3CDTF">2026-04-17T01:31:41Z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