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6B23A692-68C4-48D4-A781-D9F3586F9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[3]!Table1[[#All],[BEDSKIRTS]]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7" l="1"/>
  <c r="AW5" i="7" s="1"/>
  <c r="AG5" i="7"/>
  <c r="AH5" i="7" s="1"/>
  <c r="AB5" i="7"/>
  <c r="AC5" i="7" s="1"/>
  <c r="AE5" i="7" s="1"/>
  <c r="AX4" i="7"/>
  <c r="AW4" i="7" s="1"/>
  <c r="AM4" i="7" s="1"/>
  <c r="AG4" i="7"/>
  <c r="AH4" i="7" s="1"/>
  <c r="AB4" i="7"/>
  <c r="AC4" i="7" s="1"/>
  <c r="AE4" i="7" s="1"/>
  <c r="AX3" i="7"/>
  <c r="AW3" i="7" s="1"/>
  <c r="AH3" i="7"/>
  <c r="AG3" i="7"/>
  <c r="AB3" i="7"/>
  <c r="AC3" i="7" s="1"/>
  <c r="AE3" i="7" s="1"/>
  <c r="AX2" i="7"/>
  <c r="AW2" i="7" s="1"/>
  <c r="AG2" i="7"/>
  <c r="AH2" i="7" s="1"/>
  <c r="AB2" i="7"/>
  <c r="AC2" i="7" s="1"/>
  <c r="AE2" i="7" s="1"/>
  <c r="AS5" i="7" l="1"/>
  <c r="AM5" i="7"/>
  <c r="AO5" i="7"/>
  <c r="AP2" i="7"/>
  <c r="AS2" i="7"/>
  <c r="AO2" i="7"/>
  <c r="AM2" i="7"/>
  <c r="AK2" i="7"/>
  <c r="AT2" i="7" s="1"/>
  <c r="AI4" i="7"/>
  <c r="AO3" i="7"/>
  <c r="AM3" i="7"/>
  <c r="AS3" i="7"/>
  <c r="AK3" i="7"/>
  <c r="AP3" i="7"/>
  <c r="AI2" i="7"/>
  <c r="AO4" i="7"/>
  <c r="AP4" i="7"/>
  <c r="AK4" i="7"/>
  <c r="AS4" i="7"/>
  <c r="AP5" i="7"/>
  <c r="AI3" i="7"/>
  <c r="AK5" i="7"/>
  <c r="AT5" i="7" s="1"/>
  <c r="AI5" i="7"/>
  <c r="AU5" i="7" s="1"/>
  <c r="AV5" i="7" s="1"/>
  <c r="AU2" i="7" l="1"/>
  <c r="AV2" i="7" s="1"/>
  <c r="AT4" i="7"/>
  <c r="AU4" i="7" s="1"/>
  <c r="AV4" i="7" s="1"/>
  <c r="AT3" i="7"/>
  <c r="AU3" i="7" s="1"/>
  <c r="AV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<sst xmlns="http://schemas.openxmlformats.org/spreadsheetml/2006/main" count="107" uniqueCount="76">
  <si>
    <t>Meadow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</si>
  <si>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</si>
  <si>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</si>
  <si>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</si>
  <si>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</si>
  <si>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</si>
  <si>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</si>
  <si>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</si>
  <si>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</si>
  <si>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</si>
  <si>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</si>
  <si>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</si>
  <si>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</si>
  <si>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</si>
  <si>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</si>
  <si>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</si>
  <si>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</si>
  <si>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</si>
  <si>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</si>
  <si>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</si>
  <si>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</si>
  <si>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</si>
  <si>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</si>
  <si>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</si>
  <si>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</si>
  <si>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</si>
  <si>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</si>
  <si>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</si>
  <si>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</si>
  <si>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</si>
  <si>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</si>
  <si>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</si>
  <si>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</si>
  <si>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</si>
  <si>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</si>
  <si>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</si>
  <si>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</si>
  <si>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</si>
  <si>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</si>
  <si>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</si>
  <si>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</si>
  <si>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</si>
  <si>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</si>
  <si>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</si>
  <si>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</si>
  <si>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</si>
  <si>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</si>
  <si>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</si>
  <si>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</si>
  <si>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</si>
  <si>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</si>
  <si>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</si>
  <si>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</si>
  <si>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</si>
  <si>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</si>
  <si>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</si>
  <si>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</si>
  <si>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</si>
  <si>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05PX3227P2-B</t>
  </si>
  <si>
    <t>5 Pieces 100% Cotton Comforter Set</t>
  </si>
  <si>
    <t>5 Pieces Comforter Set</t>
  </si>
  <si>
    <t>Comforter/Shams: 100% T180 cotton rotary floral print face; Back: T180 cotton poly blend cross weave, solid color reverse.  230gsm poly fill.
Dec pillow: cotton cover, poly fill</t>
  </si>
  <si>
    <t>Face: 100% cotton
Back: cotton poly blend</t>
  </si>
  <si>
    <t>Queen
1 Comforter 90"W x 90"L
2 Standard Shams 20"W x 26"L(2)
1 Decorative Pillpw 18"W x 18"L
1 Decorative Piillow 10"W x 20"L</t>
  </si>
  <si>
    <t>Blue</t>
  </si>
  <si>
    <t>Set</t>
  </si>
  <si>
    <t>Partially Compressed</t>
  </si>
  <si>
    <t>9404.40.1000</t>
  </si>
  <si>
    <t>King
1 Comforter 104"W x 92"L
2 King Shams 20"W x 36"L(2)
1 Decorative Pillow 18"W x 18"L
1 Decorative Pillow 10"W x 20"L</t>
  </si>
  <si>
    <t>DUVET&amp;DUVET SET</t>
  </si>
  <si>
    <t>3 Pieces 100% Cotton Duvet Cover Set</t>
  </si>
  <si>
    <t>3 PCS Cotton Duvet Cover Set</t>
  </si>
  <si>
    <t>Duvet Cover/Shams: 100% T180 cotton rotary printed face
Back: T180 cotton poly blend cross weave solid color</t>
  </si>
  <si>
    <t>Queen
1 Duvet Cover 90"W x 90"L
2 Standard Shams 20"W x 26"L(2)</t>
  </si>
  <si>
    <t>Normal</t>
  </si>
  <si>
    <t>King
1 Duvet Cover 104"W x 92"L
2 King Shams 20"W x 36"L(2)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</si>
</sst>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.0%"/>
    <numFmt numFmtId="186" formatCode="0_);[Red]\(0\)"/>
  </numFmts>
  <fonts count="9" x14ac:knownFonts="1">
    <font>
      <sz val="11"/>
      <color theme="1"/>
      <name val="宋体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/>
    <xf numFmtId="0" fontId="6" fillId="0" borderId="0"/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1" fillId="0" borderId="0" xfId="12" applyAlignment="1">
      <alignment wrapText="1"/>
    </xf>
    <xf numFmtId="0" fontId="2" fillId="0" borderId="1" xfId="12" applyFont="1" applyBorder="1" applyAlignment="1">
      <alignment horizontal="center" wrapText="1"/>
    </xf>
    <xf numFmtId="0" fontId="2" fillId="5" borderId="1" xfId="12" applyFont="1" applyFill="1" applyBorder="1" applyAlignment="1">
      <alignment horizontal="center" wrapText="1"/>
    </xf>
    <xf numFmtId="0" fontId="4" fillId="5" borderId="1" xfId="12" applyFont="1" applyFill="1" applyBorder="1" applyAlignment="1">
      <alignment horizontal="center" wrapText="1"/>
    </xf>
    <xf numFmtId="0" fontId="4" fillId="2" borderId="1" xfId="12" applyFont="1" applyFill="1" applyBorder="1" applyAlignment="1">
      <alignment horizontal="center" wrapText="1"/>
    </xf>
    <xf numFmtId="0" fontId="2" fillId="2" borderId="1" xfId="12" applyFont="1" applyFill="1" applyBorder="1" applyAlignment="1">
      <alignment horizontal="center" wrapText="1"/>
    </xf>
    <xf numFmtId="180" fontId="2" fillId="4" borderId="1" xfId="12" applyNumberFormat="1" applyFont="1" applyFill="1" applyBorder="1" applyAlignment="1">
      <alignment horizontal="center" wrapText="1"/>
    </xf>
    <xf numFmtId="2" fontId="2" fillId="4" borderId="1" xfId="12" applyNumberFormat="1" applyFont="1" applyFill="1" applyBorder="1" applyAlignment="1">
      <alignment horizontal="center" wrapText="1"/>
    </xf>
    <xf numFmtId="178" fontId="5" fillId="4" borderId="1" xfId="13" applyNumberFormat="1" applyFont="1" applyFill="1" applyBorder="1" applyAlignment="1">
      <alignment wrapText="1"/>
    </xf>
    <xf numFmtId="178" fontId="2" fillId="6" borderId="2" xfId="12" applyNumberFormat="1" applyFont="1" applyFill="1" applyBorder="1" applyAlignment="1">
      <alignment horizontal="center" wrapText="1"/>
    </xf>
    <xf numFmtId="178" fontId="2" fillId="4" borderId="1" xfId="12" applyNumberFormat="1" applyFont="1" applyFill="1" applyBorder="1" applyAlignment="1">
      <alignment horizontal="center" wrapText="1"/>
    </xf>
    <xf numFmtId="0" fontId="4" fillId="0" borderId="1" xfId="12" applyFont="1" applyBorder="1" applyAlignment="1">
      <alignment horizontal="center" wrapText="1"/>
    </xf>
    <xf numFmtId="181" fontId="2" fillId="0" borderId="1" xfId="12" applyNumberFormat="1" applyFont="1" applyBorder="1" applyAlignment="1">
      <alignment horizontal="center" wrapText="1"/>
    </xf>
    <xf numFmtId="2" fontId="2" fillId="0" borderId="1" xfId="12" applyNumberFormat="1" applyFont="1" applyBorder="1" applyAlignment="1">
      <alignment horizontal="center" wrapText="1"/>
    </xf>
    <xf numFmtId="1" fontId="2" fillId="0" borderId="1" xfId="12" applyNumberFormat="1" applyFont="1" applyBorder="1" applyAlignment="1">
      <alignment horizontal="center" wrapText="1"/>
    </xf>
    <xf numFmtId="182" fontId="5" fillId="0" borderId="1" xfId="13" applyNumberFormat="1" applyFont="1" applyBorder="1" applyAlignment="1">
      <alignment wrapText="1"/>
    </xf>
    <xf numFmtId="1" fontId="5" fillId="0" borderId="1" xfId="13" applyNumberFormat="1" applyFont="1" applyBorder="1" applyAlignment="1">
      <alignment wrapText="1"/>
    </xf>
    <xf numFmtId="178" fontId="5" fillId="0" borderId="1" xfId="13" applyNumberFormat="1" applyFont="1" applyBorder="1" applyAlignment="1">
      <alignment wrapText="1"/>
    </xf>
    <xf numFmtId="10" fontId="2" fillId="0" borderId="1" xfId="12" applyNumberFormat="1" applyFont="1" applyBorder="1" applyAlignment="1">
      <alignment horizontal="center" wrapText="1"/>
    </xf>
    <xf numFmtId="178" fontId="5" fillId="3" borderId="1" xfId="13" applyNumberFormat="1" applyFont="1" applyFill="1" applyBorder="1" applyAlignment="1">
      <alignment wrapText="1"/>
    </xf>
    <xf numFmtId="10" fontId="5" fillId="3" borderId="1" xfId="13" applyNumberFormat="1" applyFont="1" applyFill="1" applyBorder="1" applyAlignment="1">
      <alignment wrapText="1"/>
    </xf>
    <xf numFmtId="178" fontId="2" fillId="3" borderId="1" xfId="12" applyNumberFormat="1" applyFont="1" applyFill="1" applyBorder="1" applyAlignment="1">
      <alignment horizontal="center" wrapText="1"/>
    </xf>
    <xf numFmtId="10" fontId="2" fillId="3" borderId="1" xfId="12" applyNumberFormat="1" applyFont="1" applyFill="1" applyBorder="1" applyAlignment="1">
      <alignment horizontal="center" wrapText="1"/>
    </xf>
    <xf numFmtId="10" fontId="2" fillId="7" borderId="1" xfId="12" applyNumberFormat="1" applyFont="1" applyFill="1" applyBorder="1" applyAlignment="1">
      <alignment horizontal="center" wrapText="1"/>
    </xf>
    <xf numFmtId="0" fontId="3" fillId="8" borderId="1" xfId="4" applyFill="1" applyBorder="1" applyAlignment="1">
      <alignment horizontal="center" vertical="center" wrapText="1"/>
    </xf>
    <xf numFmtId="0" fontId="1" fillId="0" borderId="1" xfId="12" applyBorder="1" applyAlignment="1">
      <alignment horizontal="center" wrapText="1"/>
    </xf>
    <xf numFmtId="0" fontId="1" fillId="0" borderId="1" xfId="12" applyBorder="1" applyAlignment="1">
      <alignment wrapText="1"/>
    </xf>
    <xf numFmtId="183" fontId="1" fillId="0" borderId="1" xfId="12" applyNumberFormat="1" applyBorder="1" applyAlignment="1">
      <alignment horizontal="left" wrapText="1"/>
    </xf>
    <xf numFmtId="0" fontId="0" fillId="2" borderId="1" xfId="0" applyFill="1" applyBorder="1" applyAlignment="1">
      <alignment wrapText="1"/>
    </xf>
    <xf numFmtId="184" fontId="1" fillId="0" borderId="1" xfId="12" applyNumberFormat="1" applyBorder="1" applyAlignment="1">
      <alignment wrapText="1"/>
    </xf>
    <xf numFmtId="2" fontId="1" fillId="0" borderId="1" xfId="12" applyNumberFormat="1" applyBorder="1" applyAlignment="1">
      <alignment wrapText="1"/>
    </xf>
    <xf numFmtId="178" fontId="1" fillId="9" borderId="1" xfId="7" applyNumberFormat="1" applyFont="1" applyFill="1" applyBorder="1" applyAlignment="1">
      <alignment wrapText="1"/>
    </xf>
    <xf numFmtId="178" fontId="1" fillId="0" borderId="2" xfId="12" applyNumberFormat="1" applyBorder="1" applyAlignment="1">
      <alignment wrapText="1"/>
    </xf>
    <xf numFmtId="178" fontId="1" fillId="0" borderId="1" xfId="12" applyNumberFormat="1" applyBorder="1" applyAlignment="1">
      <alignment wrapText="1"/>
    </xf>
    <xf numFmtId="181" fontId="1" fillId="0" borderId="1" xfId="12" applyNumberFormat="1" applyBorder="1" applyAlignment="1">
      <alignment wrapText="1"/>
    </xf>
    <xf numFmtId="1" fontId="1" fillId="0" borderId="1" xfId="12" applyNumberFormat="1" applyBorder="1" applyAlignment="1">
      <alignment wrapText="1"/>
    </xf>
    <xf numFmtId="182" fontId="1" fillId="9" borderId="1" xfId="12" applyNumberFormat="1" applyFill="1" applyBorder="1" applyAlignment="1">
      <alignment wrapText="1"/>
    </xf>
    <xf numFmtId="1" fontId="1" fillId="9" borderId="1" xfId="12" applyNumberFormat="1" applyFill="1" applyBorder="1" applyAlignment="1">
      <alignment wrapText="1"/>
    </xf>
    <xf numFmtId="176" fontId="1" fillId="0" borderId="1" xfId="12" applyNumberFormat="1" applyBorder="1" applyAlignment="1">
      <alignment wrapText="1"/>
    </xf>
    <xf numFmtId="178" fontId="1" fillId="9" borderId="1" xfId="12" applyNumberFormat="1" applyFill="1" applyBorder="1" applyAlignment="1">
      <alignment wrapText="1"/>
    </xf>
    <xf numFmtId="10" fontId="1" fillId="0" borderId="1" xfId="12" applyNumberFormat="1" applyBorder="1" applyAlignment="1">
      <alignment wrapText="1"/>
    </xf>
    <xf numFmtId="185" fontId="1" fillId="9" borderId="1" xfId="11" applyNumberFormat="1" applyFont="1" applyFill="1" applyBorder="1" applyAlignment="1">
      <alignment wrapText="1"/>
    </xf>
    <xf numFmtId="186" fontId="1" fillId="0" borderId="1" xfId="12" applyNumberFormat="1" applyBorder="1" applyAlignment="1">
      <alignment wrapText="1"/>
    </xf>
    <xf numFmtId="0" fontId="1" fillId="0" borderId="1" xfId="12" applyBorder="1" applyAlignment="1">
      <alignment horizontal="center"/>
    </xf>
  </cellXfs>
  <cellStyles count="14">
    <cellStyle name="Currency 2" xfId="7" xr:uid="{00000000-0005-0000-0000-000039000000}"/>
    <cellStyle name="Currency 2 3 2" xfId="6" xr:uid="{00000000-0005-0000-0000-000038000000}"/>
    <cellStyle name="Currency_Sheet1 2" xfId="5" xr:uid="{00000000-0005-0000-0000-000037000000}"/>
    <cellStyle name="Normal 12" xfId="1" xr:uid="{00000000-0005-0000-0000-000032000000}"/>
    <cellStyle name="Normal 2" xfId="12" xr:uid="{00000000-0005-0000-0000-00003E000000}"/>
    <cellStyle name="Normal 2 18 2" xfId="13" xr:uid="{00000000-0005-0000-0000-00003F000000}"/>
    <cellStyle name="Normal 9 2 4" xfId="2" xr:uid="{00000000-0005-0000-0000-000034000000}"/>
    <cellStyle name="Normal_Copy of Request For Quote -- updated by VV on 043008 FINAL FINAL (4)" xfId="10" xr:uid="{00000000-0005-0000-0000-00003C000000}"/>
    <cellStyle name="Normal_Fashion Bedding Fall 2012 2" xfId="4" xr:uid="{00000000-0005-0000-0000-000036000000}"/>
    <cellStyle name="Percent 2" xfId="11" xr:uid="{00000000-0005-0000-0000-00003D000000}"/>
    <cellStyle name="Style 1" xfId="8" xr:uid="{00000000-0005-0000-0000-00003A000000}"/>
    <cellStyle name="常规" xfId="0" builtinId="0"/>
    <cellStyle name="常规 8" xfId="9" xr:uid="{00000000-0005-0000-0000-00003B000000}"/>
    <cellStyle name="样式 1 2" xfId="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S:\Kristina%20Lance-Bedding\MYTEX\POS%202015\MYTEX%20FEB-MAR%20IMPORTS.xlsx?55DDC7CE" TargetMode="External"/><Relationship Id="rId1" Type="http://schemas.openxmlformats.org/officeDocument/2006/relationships/externalLinkPath" Target="file:///\\55DDC7C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SLard%20-%20Design/Customs%20Memo/Master%20Copy%20Quote%20Sheet%202.xls?DB9F4CAB" TargetMode="External"/><Relationship Id="rId1" Type="http://schemas.openxmlformats.org/officeDocument/2006/relationships/externalLinkPath" Target="file:///\\DB9F4CAB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Documents%20and%20Settings/zhangqing/&#26700;&#38754;/BBB/item%20set%20up/Final/BBB_Bombay_Cambay_Item%20Set%20Up_20111021.XLS?932DD3F9" TargetMode="External"/><Relationship Id="rId1" Type="http://schemas.openxmlformats.org/officeDocument/2006/relationships/externalLinkPath" Target="file:///\\932DD3F9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B3CF019B" TargetMode="External"/><Relationship Id="rId1" Type="http://schemas.openxmlformats.org/officeDocument/2006/relationships/externalLinkPath" Target="file:///\\B3CF019B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joyce/customer/CS/CS%20stock%20list(ET)-081030.xls?1CAC92E9" TargetMode="External"/><Relationship Id="rId1" Type="http://schemas.openxmlformats.org/officeDocument/2006/relationships/externalLinkPath" Target="file:///\\1CAC92E9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192.168.20.8/Users/Lululin/Desktop/Adult%202025/Darcy/JLA%20Ecomm-%20MP%20Darcy%20commitment-%2009272025.xlsx" TargetMode="External"/><Relationship Id="rId1" Type="http://schemas.openxmlformats.org/officeDocument/2006/relationships/externalLinkPath" Target="/Users/Lululin/Library/Containers/com.microsoft.Outlook/Data/tmp/Outlook%20Temp/192.168.20.8/Users/Lululin/Desktop/Adult%202025/Darcy/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Users/ying.gu/AppData/Local/Microsoft/Windows/Temporary%20Internet%20Files/OLK784B/tex%20fleece%204-17-12%20(2).xls?0904B189" TargetMode="External"/><Relationship Id="rId1" Type="http://schemas.openxmlformats.org/officeDocument/2006/relationships/externalLinkPath" Target="file:///\\0904B189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C:/Users/Minhas/AppData/Local/Microsoft/Windows/INetCache/Content.Outlook/VJ2E5VPJ/FA20%20BIG%20ONE%20JERSEY.xlsx" TargetMode="External"/><Relationship Id="rId1" Type="http://schemas.openxmlformats.org/officeDocument/2006/relationships/externalLinkPath" Target="/Users/Lululin/Library/Containers/com.microsoft.Outlook/Data/tmp/Outlook%20Temp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DVD/AppData/Local/Microsoft/Windows/Temporary%20Internet%20Files/Content.Outlook/UNTFDTPU/ITP%20-%20SP%20PROMO%205PC%20COMF-2.xlsx?4B9BED02" TargetMode="External"/><Relationship Id="rId1" Type="http://schemas.openxmlformats.org/officeDocument/2006/relationships/externalLinkPath" Target="file:///\\4B9BED02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192.168.20.8/Users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Library/Containers/com.microsoft.Outlook/Data/tmp/Outlook%20Temp/192.168.20.8/Users/Lululin/Desktop/Adult%202025/Adele/&#26032;&#39068;&#33394;/192.168.20.8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DDCA611E" TargetMode="External"/><Relationship Id="rId1" Type="http://schemas.openxmlformats.org/officeDocument/2006/relationships/externalLinkPath" Target="file:///\\DDCA611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C4E52EBF" TargetMode="External"/><Relationship Id="rId1" Type="http://schemas.openxmlformats.org/officeDocument/2006/relationships/externalLinkPath" Target="file:///\\C4E52EBF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Library/Containers/com.microsoft.Outlook/Data/tmp/Outlook%20Temp/192.168.20.8/Users/Lululin/Desktop/Adult%202025/Adele/&#26032;&#39068;&#33394;/192.168.20.8/Users/Lululin/Desktop/Adult%202025/Darcy/18ACE7EE/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5"/>
  <sheetViews>
    <sheetView tabSelected="1" topLeftCell="I2" zoomScale="70" zoomScaleNormal="70" workbookViewId="0">
      <selection activeCell="I6" sqref="A6:XFD252"/>
    </sheetView>
  </sheetViews>
  <sheetFormatPr defaultColWidth="9.25" defaultRowHeight="13.5" x14ac:dyDescent="0.15"/>
  <cols>
    <col min="2" max="2" width="43.25" customWidth="1"/>
    <col min="3" max="3" width="16.5" customWidth="1"/>
    <col min="4" max="4" width="21.75" customWidth="1"/>
    <col min="5" max="5" width="11.5" customWidth="1"/>
    <col min="6" max="6" width="16.5" customWidth="1"/>
    <col min="7" max="7" width="11.5" customWidth="1"/>
    <col min="8" max="8" width="19.75" customWidth="1"/>
    <col min="9" max="9" width="18.125" customWidth="1"/>
    <col min="10" max="10" width="58.125" customWidth="1"/>
    <col min="11" max="11" width="20.625" customWidth="1"/>
    <col min="12" max="12" width="45.1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3" width="11.875" customWidth="1"/>
    <col min="54" max="54" width="11.5" customWidth="1"/>
    <col min="55" max="55" width="9.25" customWidth="1"/>
    <col min="56" max="56" width="33" customWidth="1"/>
  </cols>
  <sheetData>
    <row r="1" spans="1:55" s="2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6" t="s">
        <v>56</v>
      </c>
      <c r="BC1" s="26" t="s">
        <v>57</v>
      </c>
    </row>
    <row r="2" spans="1:55" s="2" customFormat="1" ht="77.099999999999994" customHeight="1" x14ac:dyDescent="0.25">
      <c r="A2" s="27">
        <v>1</v>
      </c>
      <c r="B2" s="45"/>
      <c r="C2" s="28" t="s">
        <v>58</v>
      </c>
      <c r="D2" s="1" t="s">
        <v>2</v>
      </c>
      <c r="E2" s="28"/>
      <c r="F2" s="1" t="s">
        <v>4</v>
      </c>
      <c r="G2" s="28" t="s">
        <v>0</v>
      </c>
      <c r="H2" s="28" t="s">
        <v>59</v>
      </c>
      <c r="I2" s="28" t="s">
        <v>60</v>
      </c>
      <c r="J2" s="29" t="s">
        <v>61</v>
      </c>
      <c r="K2" s="28" t="s">
        <v>62</v>
      </c>
      <c r="L2" s="28" t="s">
        <v>63</v>
      </c>
      <c r="M2" s="28" t="s">
        <v>64</v>
      </c>
      <c r="N2" s="30"/>
      <c r="O2" s="30"/>
      <c r="P2" s="28" t="s">
        <v>65</v>
      </c>
      <c r="Q2" s="31"/>
      <c r="R2" s="32"/>
      <c r="S2" s="33">
        <v>25.69</v>
      </c>
      <c r="T2" s="34">
        <v>25.69</v>
      </c>
      <c r="U2" s="35"/>
      <c r="V2" s="28" t="s">
        <v>66</v>
      </c>
      <c r="W2" s="36">
        <v>60</v>
      </c>
      <c r="X2" s="36">
        <v>48</v>
      </c>
      <c r="Y2" s="36">
        <v>23</v>
      </c>
      <c r="Z2" s="32">
        <v>2</v>
      </c>
      <c r="AA2" s="37">
        <v>1</v>
      </c>
      <c r="AB2" s="38">
        <f t="shared" ref="AB2:AB5" si="0">IF(W2="","",W2*X2*Y2/1000000)</f>
        <v>6.6239999999999993E-2</v>
      </c>
      <c r="AC2" s="39">
        <f t="shared" ref="AC2:AC5" si="1">IF(AA2="","",65/AB2*AA2)</f>
        <v>981.28019323671504</v>
      </c>
      <c r="AD2" s="40">
        <v>3400</v>
      </c>
      <c r="AE2" s="41">
        <f t="shared" ref="AE2:AE5" si="2">IF(ISERROR(AD2/AC2),"",AD2/AC2)</f>
        <v>3.4648615384615384</v>
      </c>
      <c r="AF2" s="28" t="s">
        <v>67</v>
      </c>
      <c r="AG2" s="42">
        <f t="shared" ref="AG2:AG3" si="3">4.4%+10%</f>
        <v>0.14400000000000002</v>
      </c>
      <c r="AH2" s="41">
        <f t="shared" ref="AH2:AH5" si="4">IF(ISERROR(T2*AG2),"",T2*AG2)</f>
        <v>3.6993600000000004</v>
      </c>
      <c r="AI2" s="41">
        <f t="shared" ref="AI2:AI5" si="5">IF(ISERROR(T2+AE2+AH2),"",T2+AE2+AH2)</f>
        <v>32.854221538461537</v>
      </c>
      <c r="AJ2" s="42">
        <v>0.06</v>
      </c>
      <c r="AK2" s="41">
        <f t="shared" ref="AK2:AK5" si="6">IF(ISERROR(AW2*AJ2),"",AW2*AJ2)</f>
        <v>3.4282857142857139</v>
      </c>
      <c r="AL2" s="42">
        <v>0.1</v>
      </c>
      <c r="AM2" s="41">
        <f t="shared" ref="AM2:AM5" si="7">IF(ISERROR(AW2*AL2),"",AW2*AL2)</f>
        <v>5.7138095238095232</v>
      </c>
      <c r="AN2" s="42">
        <v>0.1</v>
      </c>
      <c r="AO2" s="41">
        <f t="shared" ref="AO2:AO5" si="8">IF(ISERROR(AW2*AN2),"",AW2*AN2)</f>
        <v>5.7138095238095232</v>
      </c>
      <c r="AP2" s="41">
        <f t="shared" ref="AP2:AP5" si="9">IF((AX2-AW2)&lt;2.5,2.5-(AX2-AW2),0)</f>
        <v>0</v>
      </c>
      <c r="AQ2" s="28"/>
      <c r="AR2" s="42"/>
      <c r="AS2" s="41">
        <f t="shared" ref="AS2:AS5" si="10">IF(ISERROR(AW2*AR2),"",AW2*AR2)</f>
        <v>0</v>
      </c>
      <c r="AT2" s="41">
        <f t="shared" ref="AT2:AT5" si="11">IF(ISERROR(AK2+AM2+AO2+AP2+AS2),"",AK2+AM2+AO2+AP2+AS2)</f>
        <v>14.85590476190476</v>
      </c>
      <c r="AU2" s="41">
        <f>IF(ISERROR(AI2+AT2),"",AI2+AT2)</f>
        <v>47.710126300366298</v>
      </c>
      <c r="AV2" s="43">
        <f>IF(ISERROR((AW2-AU2)/AW2),"",(AW2-AU2)/AW2)</f>
        <v>0.1650032066774795</v>
      </c>
      <c r="AW2" s="41">
        <f t="shared" ref="AW2:AW5" si="12">IF(AX2="","",AX2/1.05)</f>
        <v>57.138095238095232</v>
      </c>
      <c r="AX2" s="41">
        <f t="shared" ref="AX2:AX5" si="13">IF(ISERROR(AY2*(1-AZ2)),"",AY2*(1-AZ2))</f>
        <v>59.994999999999997</v>
      </c>
      <c r="AY2" s="35">
        <v>119.99</v>
      </c>
      <c r="AZ2" s="42">
        <v>0.5</v>
      </c>
      <c r="BA2" s="44">
        <v>590</v>
      </c>
      <c r="BB2" s="37"/>
      <c r="BC2" s="44"/>
    </row>
    <row r="3" spans="1:55" s="2" customFormat="1" ht="77.099999999999994" customHeight="1" x14ac:dyDescent="0.25">
      <c r="A3" s="27">
        <v>2</v>
      </c>
      <c r="B3" s="45"/>
      <c r="C3" s="28" t="s">
        <v>58</v>
      </c>
      <c r="D3" s="1" t="s">
        <v>2</v>
      </c>
      <c r="E3" s="28"/>
      <c r="F3" s="1" t="s">
        <v>4</v>
      </c>
      <c r="G3" s="28" t="s">
        <v>0</v>
      </c>
      <c r="H3" s="28" t="s">
        <v>59</v>
      </c>
      <c r="I3" s="28" t="s">
        <v>60</v>
      </c>
      <c r="J3" s="29" t="s">
        <v>61</v>
      </c>
      <c r="K3" s="28" t="s">
        <v>62</v>
      </c>
      <c r="L3" s="28" t="s">
        <v>68</v>
      </c>
      <c r="M3" s="28" t="s">
        <v>64</v>
      </c>
      <c r="N3" s="30"/>
      <c r="O3" s="30"/>
      <c r="P3" s="28" t="s">
        <v>65</v>
      </c>
      <c r="Q3" s="31"/>
      <c r="R3" s="32"/>
      <c r="S3" s="33">
        <v>28.53</v>
      </c>
      <c r="T3" s="34">
        <v>28.53</v>
      </c>
      <c r="U3" s="35"/>
      <c r="V3" s="28" t="s">
        <v>66</v>
      </c>
      <c r="W3" s="36">
        <v>60</v>
      </c>
      <c r="X3" s="36">
        <v>48</v>
      </c>
      <c r="Y3" s="36">
        <v>31</v>
      </c>
      <c r="Z3" s="32">
        <v>2</v>
      </c>
      <c r="AA3" s="37">
        <v>1</v>
      </c>
      <c r="AB3" s="38">
        <f t="shared" si="0"/>
        <v>8.9279999999999998E-2</v>
      </c>
      <c r="AC3" s="39">
        <f t="shared" si="1"/>
        <v>728.04659498207889</v>
      </c>
      <c r="AD3" s="40">
        <v>3400</v>
      </c>
      <c r="AE3" s="41">
        <f t="shared" si="2"/>
        <v>4.6700307692307694</v>
      </c>
      <c r="AF3" s="28" t="s">
        <v>67</v>
      </c>
      <c r="AG3" s="42">
        <f t="shared" si="3"/>
        <v>0.14400000000000002</v>
      </c>
      <c r="AH3" s="41">
        <f t="shared" si="4"/>
        <v>4.1083200000000009</v>
      </c>
      <c r="AI3" s="41">
        <f t="shared" si="5"/>
        <v>37.308350769230771</v>
      </c>
      <c r="AJ3" s="42">
        <v>0.06</v>
      </c>
      <c r="AK3" s="41">
        <f t="shared" si="6"/>
        <v>3.9997142857142856</v>
      </c>
      <c r="AL3" s="42">
        <v>0.1</v>
      </c>
      <c r="AM3" s="41">
        <f t="shared" si="7"/>
        <v>6.6661904761904767</v>
      </c>
      <c r="AN3" s="42">
        <v>0.1</v>
      </c>
      <c r="AO3" s="41">
        <f t="shared" si="8"/>
        <v>6.6661904761904767</v>
      </c>
      <c r="AP3" s="41">
        <f t="shared" si="9"/>
        <v>0</v>
      </c>
      <c r="AQ3" s="28"/>
      <c r="AR3" s="42"/>
      <c r="AS3" s="41">
        <f t="shared" si="10"/>
        <v>0</v>
      </c>
      <c r="AT3" s="41">
        <f t="shared" si="11"/>
        <v>17.332095238095238</v>
      </c>
      <c r="AU3" s="41">
        <f t="shared" ref="AU3:AU5" si="14">IF(ISERROR(AI3+AT3),"",AI3+AT3)</f>
        <v>54.640446007326005</v>
      </c>
      <c r="AV3" s="43">
        <f t="shared" ref="AV3:AV5" si="15">IF(ISERROR((AW3-AU3)/AW3),"",(AW3-AU3)/AW3)</f>
        <v>0.18033476237313661</v>
      </c>
      <c r="AW3" s="41">
        <f t="shared" si="12"/>
        <v>66.661904761904765</v>
      </c>
      <c r="AX3" s="41">
        <f t="shared" si="13"/>
        <v>69.995000000000005</v>
      </c>
      <c r="AY3" s="35">
        <v>139.99</v>
      </c>
      <c r="AZ3" s="42">
        <v>0.5</v>
      </c>
      <c r="BA3" s="44">
        <v>450</v>
      </c>
      <c r="BB3" s="37"/>
      <c r="BC3" s="44"/>
    </row>
    <row r="4" spans="1:55" s="2" customFormat="1" ht="77.099999999999994" customHeight="1" x14ac:dyDescent="0.25">
      <c r="A4" s="27">
        <v>3</v>
      </c>
      <c r="B4" s="45"/>
      <c r="C4" s="28" t="s">
        <v>58</v>
      </c>
      <c r="D4" s="1" t="s">
        <v>2</v>
      </c>
      <c r="E4" s="28"/>
      <c r="F4" s="1" t="s">
        <v>69</v>
      </c>
      <c r="G4" s="28" t="s">
        <v>0</v>
      </c>
      <c r="H4" s="28" t="s">
        <v>70</v>
      </c>
      <c r="I4" s="28" t="s">
        <v>71</v>
      </c>
      <c r="J4" s="29" t="s">
        <v>72</v>
      </c>
      <c r="K4" s="28" t="s">
        <v>62</v>
      </c>
      <c r="L4" s="28" t="s">
        <v>73</v>
      </c>
      <c r="M4" s="28" t="s">
        <v>64</v>
      </c>
      <c r="N4" s="30"/>
      <c r="O4" s="30"/>
      <c r="P4" s="28" t="s">
        <v>65</v>
      </c>
      <c r="Q4" s="31"/>
      <c r="R4" s="32"/>
      <c r="S4" s="33">
        <v>16.510000000000002</v>
      </c>
      <c r="T4" s="34">
        <v>16.510000000000002</v>
      </c>
      <c r="U4" s="35"/>
      <c r="V4" s="28" t="s">
        <v>74</v>
      </c>
      <c r="W4" s="36">
        <v>30</v>
      </c>
      <c r="X4" s="36">
        <v>25</v>
      </c>
      <c r="Y4" s="36">
        <v>18</v>
      </c>
      <c r="Z4" s="32">
        <v>2</v>
      </c>
      <c r="AA4" s="37">
        <v>1</v>
      </c>
      <c r="AB4" s="38">
        <f t="shared" si="0"/>
        <v>1.35E-2</v>
      </c>
      <c r="AC4" s="39">
        <f t="shared" si="1"/>
        <v>4814.8148148148148</v>
      </c>
      <c r="AD4" s="40">
        <v>3400</v>
      </c>
      <c r="AE4" s="41">
        <f t="shared" si="2"/>
        <v>0.70615384615384613</v>
      </c>
      <c r="AF4" s="28" t="s">
        <v>67</v>
      </c>
      <c r="AG4" s="42">
        <f>6.7%+10%</f>
        <v>0.16700000000000001</v>
      </c>
      <c r="AH4" s="41">
        <f t="shared" si="4"/>
        <v>2.7571700000000003</v>
      </c>
      <c r="AI4" s="41">
        <f t="shared" si="5"/>
        <v>19.973323846153846</v>
      </c>
      <c r="AJ4" s="42">
        <v>0.06</v>
      </c>
      <c r="AK4" s="41">
        <f t="shared" si="6"/>
        <v>2.2854285714285711</v>
      </c>
      <c r="AL4" s="42">
        <v>0.1</v>
      </c>
      <c r="AM4" s="41">
        <f t="shared" si="7"/>
        <v>3.809047619047619</v>
      </c>
      <c r="AN4" s="42">
        <v>0.1</v>
      </c>
      <c r="AO4" s="41">
        <f t="shared" si="8"/>
        <v>3.809047619047619</v>
      </c>
      <c r="AP4" s="41">
        <f t="shared" si="9"/>
        <v>0.59547619047619094</v>
      </c>
      <c r="AQ4" s="28"/>
      <c r="AR4" s="42"/>
      <c r="AS4" s="41">
        <f t="shared" si="10"/>
        <v>0</v>
      </c>
      <c r="AT4" s="41">
        <f t="shared" si="11"/>
        <v>10.498999999999999</v>
      </c>
      <c r="AU4" s="41">
        <f t="shared" si="14"/>
        <v>30.472323846153845</v>
      </c>
      <c r="AV4" s="43">
        <f t="shared" si="15"/>
        <v>0.20000149922586477</v>
      </c>
      <c r="AW4" s="41">
        <f t="shared" si="12"/>
        <v>38.090476190476188</v>
      </c>
      <c r="AX4" s="41">
        <f t="shared" si="13"/>
        <v>39.994999999999997</v>
      </c>
      <c r="AY4" s="35">
        <v>79.989999999999995</v>
      </c>
      <c r="AZ4" s="42">
        <v>0.5</v>
      </c>
      <c r="BA4" s="44">
        <v>380</v>
      </c>
      <c r="BB4" s="37"/>
      <c r="BC4" s="44"/>
    </row>
    <row r="5" spans="1:55" s="2" customFormat="1" ht="77.099999999999994" customHeight="1" x14ac:dyDescent="0.25">
      <c r="A5" s="27">
        <v>4</v>
      </c>
      <c r="B5" s="45"/>
      <c r="C5" s="28" t="s">
        <v>58</v>
      </c>
      <c r="D5" s="1" t="s">
        <v>2</v>
      </c>
      <c r="E5" s="28"/>
      <c r="F5" s="1" t="s">
        <v>69</v>
      </c>
      <c r="G5" s="28" t="s">
        <v>0</v>
      </c>
      <c r="H5" s="28" t="s">
        <v>70</v>
      </c>
      <c r="I5" s="28" t="s">
        <v>71</v>
      </c>
      <c r="J5" s="29" t="s">
        <v>72</v>
      </c>
      <c r="K5" s="28" t="s">
        <v>62</v>
      </c>
      <c r="L5" s="28" t="s">
        <v>75</v>
      </c>
      <c r="M5" s="28" t="s">
        <v>64</v>
      </c>
      <c r="N5" s="30"/>
      <c r="O5" s="30"/>
      <c r="P5" s="28" t="s">
        <v>65</v>
      </c>
      <c r="Q5" s="31"/>
      <c r="R5" s="32"/>
      <c r="S5" s="33">
        <v>18.86</v>
      </c>
      <c r="T5" s="34">
        <v>18.86</v>
      </c>
      <c r="U5" s="35"/>
      <c r="V5" s="28" t="s">
        <v>74</v>
      </c>
      <c r="W5" s="36">
        <v>30</v>
      </c>
      <c r="X5" s="36">
        <v>25</v>
      </c>
      <c r="Y5" s="36">
        <v>22</v>
      </c>
      <c r="Z5" s="32">
        <v>2</v>
      </c>
      <c r="AA5" s="37">
        <v>1</v>
      </c>
      <c r="AB5" s="38">
        <f t="shared" si="0"/>
        <v>1.6500000000000001E-2</v>
      </c>
      <c r="AC5" s="39">
        <f t="shared" si="1"/>
        <v>3939.393939393939</v>
      </c>
      <c r="AD5" s="40">
        <v>3400</v>
      </c>
      <c r="AE5" s="41">
        <f t="shared" si="2"/>
        <v>0.86307692307692319</v>
      </c>
      <c r="AF5" s="28" t="s">
        <v>67</v>
      </c>
      <c r="AG5" s="42">
        <f>6.7%+10%</f>
        <v>0.16700000000000001</v>
      </c>
      <c r="AH5" s="41">
        <f t="shared" si="4"/>
        <v>3.1496200000000001</v>
      </c>
      <c r="AI5" s="41">
        <f t="shared" si="5"/>
        <v>22.872696923076923</v>
      </c>
      <c r="AJ5" s="42">
        <v>0.06</v>
      </c>
      <c r="AK5" s="41">
        <f t="shared" si="6"/>
        <v>2.5711428571428567</v>
      </c>
      <c r="AL5" s="42">
        <v>0.1</v>
      </c>
      <c r="AM5" s="41">
        <f t="shared" si="7"/>
        <v>4.2852380952380953</v>
      </c>
      <c r="AN5" s="42">
        <v>0.1</v>
      </c>
      <c r="AO5" s="41">
        <f t="shared" si="8"/>
        <v>4.2852380952380953</v>
      </c>
      <c r="AP5" s="41">
        <f t="shared" si="9"/>
        <v>0.35738095238095013</v>
      </c>
      <c r="AQ5" s="28"/>
      <c r="AR5" s="42"/>
      <c r="AS5" s="41">
        <f t="shared" si="10"/>
        <v>0</v>
      </c>
      <c r="AT5" s="41">
        <f t="shared" si="11"/>
        <v>11.498999999999999</v>
      </c>
      <c r="AU5" s="41">
        <f t="shared" si="14"/>
        <v>34.371696923076925</v>
      </c>
      <c r="AV5" s="43">
        <f t="shared" si="15"/>
        <v>0.19790461675228857</v>
      </c>
      <c r="AW5" s="41">
        <f t="shared" si="12"/>
        <v>42.852380952380948</v>
      </c>
      <c r="AX5" s="41">
        <f t="shared" si="13"/>
        <v>44.994999999999997</v>
      </c>
      <c r="AY5" s="35">
        <v>89.99</v>
      </c>
      <c r="AZ5" s="42">
        <v>0.5</v>
      </c>
      <c r="BA5" s="44">
        <v>290</v>
      </c>
      <c r="BB5" s="37"/>
      <c r="BC5" s="44"/>
    </row>
  </sheetData>
  <protectedRanges>
    <protectedRange sqref="P2:V5 A2:B5 M2:M5 AZ2:AZ5 AH2:AX5 E2:F5 Z2:AF5" name="Range1"/>
    <protectedRange sqref="K2:K5" name="Range1_1"/>
    <protectedRange sqref="C2:C5" name="Range1_2"/>
    <protectedRange sqref="N2:O5" name="Range1_3"/>
  </protectedRanges>
  <mergeCells count="2">
    <mergeCell ref="B4:B5"/>
    <mergeCell ref="B2:B3"/>
  </mergeCell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'C:\Users\Lululin\Library\Containers\com.microsoft.Outlook\Data\tmp\Outlook Temp\192.168.20.8\Users\Lululin\Desktop\Adult 2025\Darcy\[JLA Ecomm- MP Darcy commitment- 09272025.xlsx]Data'!#REF!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</rangeList>
  <rangeList sheetStid="10" master="" otherUserPermission="visible"/>
  <rangeList sheetStid="11" master="" otherUserPermission="visible"/>
  <rangeList sheetStid="22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2024-02-09T06:17:00Z</dcterms:created>
  <dcterms:modified xsi:type="dcterms:W3CDTF">2026-04-28T01:59:52Z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