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4701539D-CE04-4034-88E0-77311FB6FAE1}" xr6:coauthVersionLast="47" xr6:coauthVersionMax="47" xr10:uidLastSave="{00000000-0000-0000-0000-000000000000}"/>
  <bookViews>
    <workbookView xWindow="-110" yWindow="-110" windowWidth="19420" windowHeight="11500" xr2:uid="{942B5D0C-7F7B-4FA3-A355-B1BCACA802F5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8" i="1" l="1"/>
  <c r="AW8" i="1"/>
  <c r="AS8" i="1" s="1"/>
  <c r="AB8" i="1"/>
  <c r="AC8" i="1" s="1"/>
  <c r="AE8" i="1" s="1"/>
  <c r="Q8" i="1"/>
  <c r="S8" i="1" s="1"/>
  <c r="AX7" i="1"/>
  <c r="AW7" i="1" s="1"/>
  <c r="AB7" i="1"/>
  <c r="AC7" i="1" s="1"/>
  <c r="AE7" i="1" s="1"/>
  <c r="Q7" i="1"/>
  <c r="S7" i="1" s="1"/>
  <c r="AX6" i="1"/>
  <c r="AW6" i="1"/>
  <c r="AS6" i="1" s="1"/>
  <c r="AB6" i="1"/>
  <c r="AC6" i="1" s="1"/>
  <c r="AE6" i="1" s="1"/>
  <c r="Q6" i="1"/>
  <c r="S6" i="1" s="1"/>
  <c r="AX5" i="1"/>
  <c r="AW5" i="1" s="1"/>
  <c r="AB5" i="1"/>
  <c r="AC5" i="1" s="1"/>
  <c r="AE5" i="1" s="1"/>
  <c r="Q5" i="1"/>
  <c r="S5" i="1" s="1"/>
  <c r="AX4" i="1"/>
  <c r="AB4" i="1"/>
  <c r="AC4" i="1" s="1"/>
  <c r="AE4" i="1" s="1"/>
  <c r="Q4" i="1"/>
  <c r="S4" i="1" s="1"/>
  <c r="AX3" i="1"/>
  <c r="AB3" i="1"/>
  <c r="AC3" i="1" s="1"/>
  <c r="AE3" i="1" s="1"/>
  <c r="Q3" i="1"/>
  <c r="S3" i="1" s="1"/>
  <c r="AX2" i="1"/>
  <c r="AB2" i="1"/>
  <c r="AC2" i="1" s="1"/>
  <c r="AE2" i="1" s="1"/>
  <c r="Q2" i="1"/>
  <c r="S2" i="1" s="1"/>
  <c r="AS5" i="1" l="1"/>
  <c r="AO5" i="1"/>
  <c r="AM5" i="1"/>
  <c r="AK5" i="1"/>
  <c r="AO7" i="1"/>
  <c r="AS7" i="1"/>
  <c r="AM7" i="1"/>
  <c r="AK7" i="1"/>
  <c r="AT7" i="1" s="1"/>
  <c r="AH5" i="1"/>
  <c r="AH7" i="1"/>
  <c r="AI7" i="1"/>
  <c r="AU7" i="1" s="1"/>
  <c r="AV7" i="1" s="1"/>
  <c r="AH2" i="1"/>
  <c r="AH3" i="1"/>
  <c r="AH4" i="1"/>
  <c r="AH6" i="1"/>
  <c r="AI6" i="1"/>
  <c r="AH8" i="1"/>
  <c r="AM8" i="1"/>
  <c r="AK6" i="1"/>
  <c r="AK8" i="1"/>
  <c r="AO8" i="1"/>
  <c r="AM6" i="1"/>
  <c r="AO6" i="1"/>
  <c r="AI5" i="1" l="1"/>
  <c r="AT5" i="1"/>
  <c r="AI4" i="1"/>
  <c r="AI3" i="1"/>
  <c r="AT8" i="1"/>
  <c r="AT6" i="1"/>
  <c r="AU6" i="1" s="1"/>
  <c r="AV6" i="1" s="1"/>
  <c r="AI8" i="1"/>
  <c r="AU8" i="1" s="1"/>
  <c r="AV8" i="1" s="1"/>
  <c r="AU5" i="1" l="1"/>
  <c r="AV5" i="1" s="1"/>
  <c r="AW3" i="1"/>
  <c r="AW4" i="1"/>
  <c r="AO4" i="1" l="1"/>
  <c r="AM4" i="1"/>
  <c r="AK4" i="1"/>
  <c r="AS4" i="1"/>
  <c r="AO3" i="1"/>
  <c r="AS3" i="1"/>
  <c r="AM3" i="1"/>
  <c r="AK3" i="1"/>
  <c r="AT3" i="1" s="1"/>
  <c r="AU3" i="1" s="1"/>
  <c r="AV3" i="1" s="1"/>
  <c r="AT4" i="1" l="1"/>
  <c r="AU4" i="1" s="1"/>
  <c r="AV4" i="1" s="1"/>
  <c r="AI2" i="1" l="1"/>
  <c r="AW2" i="1" l="1"/>
  <c r="AO2" i="1" l="1"/>
  <c r="AS2" i="1"/>
  <c r="AK2" i="1"/>
  <c r="AM2" i="1"/>
  <c r="AT2" i="1" l="1"/>
  <c r="AU2" i="1" s="1"/>
  <c r="AV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16990A7D-63C3-4618-8DDB-1187F37E319D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3B815385-887F-4672-81BF-5782AB39193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31033494-3806-4AE0-A391-8050A732BC92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95BB00AF-2C9B-4729-9678-4F46A8B9CE4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3B22CAFD-EF8B-4E3C-A7D6-E6B0B9552E27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339C7AA0-C30D-40BF-A6A0-E64615F4F62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EADD87-AC13-466E-9593-A66D6689630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E13DDDFA-6850-46A6-8E83-30CE83916AE4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810BCBAE-7373-4FC6-99D9-34140FD37F7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266BC2F9-B00C-4491-A568-177213F208E9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DB936310-7E96-49BD-96C0-F5B3B7769F1D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277BA49A-193C-482C-9912-4C29C55A97C8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FA614A6-D135-4E40-9B21-2E250F7365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B923C2DF-B963-43CC-852B-82A33581909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76765CF5-5073-43BB-8243-5D9A0B16613D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2A35A91-095E-4B45-AB90-46F5CFCC7A7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<sst xmlns="http://schemas.openxmlformats.org/spreadsheetml/2006/main" count="144" uniqueCount="86">
  <si>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</si>
  <si>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</si>
  <si>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</si>
  <si>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</si>
  <si>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</si>
  <si>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</si>
  <si>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</si>
  <si>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</si>
  <si>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</si>
  <si>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</si>
  <si>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</si>
  <si>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</si>
  <si>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</si>
  <si>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</si>
  <si>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</si>
  <si>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</si>
  <si>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</si>
  <si>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</si>
  <si>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</si>
  <si>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</si>
  <si>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</si>
  <si>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</si>
  <si>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</si>
  <si>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</si>
  <si>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</si>
  <si>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</si>
  <si>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</si>
  <si>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</si>
  <si>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</si>
  <si>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</si>
  <si>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</si>
  <si>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</si>
  <si>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</si>
  <si>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</si>
  <si>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</si>
  <si>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</si>
  <si>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</si>
  <si>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</si>
  <si>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</si>
  <si>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</si>
  <si>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</si>
  <si>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</si>
  <si>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</si>
  <si>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</si>
  <si>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</si>
  <si>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</si>
  <si>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</si>
  <si>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</si>
  <si>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</si>
  <si>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</si>
  <si>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</si>
  <si>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</si>
  <si>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</si>
  <si>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</si>
  <si>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</si>
  <si>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Laguna</t>
    <phoneticPr fontId="9" type="noConversion"/>
  </si>
  <si>
    <t>100% Polyester  Microfiber printed  2pcs Comforter Mini Set</t>
    <phoneticPr fontId="9" type="noConversion"/>
  </si>
  <si>
    <t>2pcs Comforter Mini set</t>
    <phoneticPr fontId="9" type="noConversion"/>
  </si>
  <si>
    <t>Comf/sham :100% polyester Microfiber printed on face, 85gsm microfiber printed reverse, 200gsm poly fill.</t>
    <phoneticPr fontId="9" type="noConversion"/>
  </si>
  <si>
    <t>100% polyester , poly filling</t>
    <phoneticPr fontId="9" type="noConversion"/>
  </si>
  <si>
    <t>Twin/Twin XL:66"Wx90"L/20"Wx26+1"L</t>
    <phoneticPr fontId="9" type="noConversion"/>
  </si>
  <si>
    <t>Beige</t>
    <phoneticPr fontId="9" type="noConversion"/>
  </si>
  <si>
    <t>RH10-0935</t>
  </si>
  <si>
    <t>Set</t>
  </si>
  <si>
    <t>Compressed/Knocked Down</t>
  </si>
  <si>
    <t>9404.40.9022</t>
    <phoneticPr fontId="9" type="noConversion"/>
  </si>
  <si>
    <t>100% Polyester  Microfiber printed  3pcs Comforter Mini Set</t>
    <phoneticPr fontId="9" type="noConversion"/>
  </si>
  <si>
    <t>3pcs Comforter Mini set</t>
    <phoneticPr fontId="9" type="noConversion"/>
  </si>
  <si>
    <t>Full/Queen:90"Wx90"L/20"Wx26+1"L(2)</t>
    <phoneticPr fontId="9" type="noConversion"/>
  </si>
  <si>
    <t>RH10-0936</t>
  </si>
  <si>
    <t>King/Cal King:104"Wx90"L/20"Wx36+1"L(2)</t>
    <phoneticPr fontId="9" type="noConversion"/>
  </si>
  <si>
    <t>RH10-0937</t>
  </si>
  <si>
    <t>100% Polyester Printed 6pcs Comforter Set</t>
    <phoneticPr fontId="9" type="noConversion"/>
  </si>
  <si>
    <t>6pcs Comforter Set</t>
    <phoneticPr fontId="9" type="noConversion"/>
  </si>
  <si>
    <t xml:space="preserve">Comforter/sham face: 100% polyester microfiber 85gsm printed; Comforter Back: 85gsm MF printed,  sheet set: 85gsm solid microfiber. Fitted sheet with 1  pocket on each side. Bonus Pillowcases: 100% Polyester microfiber printed;  Comforter filling: 200gsm poly fill. </t>
    <phoneticPr fontId="9" type="noConversion"/>
  </si>
  <si>
    <t xml:space="preserve">100% Polyester Microfiber,  poly fill  </t>
    <phoneticPr fontId="9" type="noConversion"/>
  </si>
  <si>
    <t>Twin: 66x90"/20x26"/66x96"/39x75+12"/20x30"/20x30"</t>
    <phoneticPr fontId="9" type="noConversion"/>
  </si>
  <si>
    <t>RH10-0938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</si>
  <si>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</si>
  <si>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</si>
  <si>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  <phoneticPr fontId="9" type="noConversion"/>
  </si>
  <si>
    <t>RH10-0939</t>
  </si>
  <si>
    <t>Queen: 90x90"/20x26"(2)/90x102"/60x80"+15"/20x30"(2)/20x30"(2)</t>
    <phoneticPr fontId="9" type="noConversion"/>
  </si>
  <si>
    <t>RH10-0940</t>
  </si>
  <si>
    <t>King: 104x90"L/20x36"(2)/108x102"/78x80"+15"/20x40"(2)/20x40"(2)</t>
    <phoneticPr fontId="9" type="noConversion"/>
  </si>
  <si>
    <t>RH10-0941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</si>
</sst>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0" fillId="0" borderId="2" xfId="1" applyFont="1" applyBorder="1" applyAlignment="1">
      <alignment wrapText="1"/>
    </xf>
    <xf numFmtId="176" fontId="6" fillId="0" borderId="2" xfId="0" applyFont="1" applyBorder="1"/>
    <xf numFmtId="0" fontId="0" fillId="5" borderId="2" xfId="0" applyNumberFormat="1" applyFill="1" applyBorder="1" applyAlignment="1">
      <alignment wrapText="1"/>
    </xf>
    <xf numFmtId="2" fontId="3" fillId="0" borderId="2" xfId="1" applyNumberFormat="1" applyFon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3" fillId="0" borderId="2" xfId="1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 xr:uid="{D0B7C852-33F3-4E3C-AE31-AA9B9DC4EEC6}"/>
    <cellStyle name="Normal 2" xfId="1" xr:uid="{B0D8438D-1CF4-4677-934F-83E4C0AE3566}"/>
    <cellStyle name="Normal 2 18 2" xfId="2" xr:uid="{38678D3A-E83A-4679-BF5C-F6B6C69F7806}"/>
    <cellStyle name="Percent 2" xfId="4" xr:uid="{79934983-7A3C-4056-A9BF-7C6C7C6EDB77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</xdr:colOff>
      <xdr:row>1</xdr:row>
      <xdr:rowOff>653143</xdr:rowOff>
    </xdr:from>
    <xdr:to>
      <xdr:col>1</xdr:col>
      <xdr:colOff>3240942</xdr:colOff>
      <xdr:row>7</xdr:row>
      <xdr:rowOff>22411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BF99147-5DEF-49E7-99DD-B757E624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985" y="1434193"/>
          <a:ext cx="3153857" cy="35823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Ecom%20Market%20Place%20-%20RH%20Laguna%20mini%20&amp;%20BIAB%20Commitment%204.9.2026.xlsx" TargetMode="External"/><Relationship Id="rId2" Type="http://schemas.openxmlformats.org/officeDocument/2006/relationships/externalLinkPath" Target="file:///C:\Users\liujie\Downloads\Ecom%20Market%20Place%20-%20RH%20Laguna%20mini%20&amp;%20BIAB%20Commitment%204.9.2026.xlsx" TargetMode="External"/><Relationship Id="rId1" Type="http://schemas.openxmlformats.org/officeDocument/2006/relationships/externalLinkPath" Target="/Users/liujie/Downloads/Ecom%20Market%20Place%20-%20RH%20Laguna%20mini%20&amp;%20BIAB%20Commitment%204.9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ValueSelect"/>
      <sheetName val="Data"/>
      <sheetName val="Factory cost-Shine"/>
    </sheetNames>
    <sheetDataSet>
      <sheetData sheetId="0"/>
      <sheetData sheetId="1"/>
      <sheetData sheetId="2"/>
      <sheetData sheetId="3"/>
      <sheetData sheetId="4">
        <row r="6">
          <cell r="F6">
            <v>85.83</v>
          </cell>
        </row>
        <row r="8">
          <cell r="F8">
            <v>108.21</v>
          </cell>
        </row>
        <row r="9">
          <cell r="F9">
            <v>115.34</v>
          </cell>
        </row>
        <row r="10">
          <cell r="F10">
            <v>131.97</v>
          </cell>
        </row>
        <row r="12">
          <cell r="F12">
            <v>53.1</v>
          </cell>
        </row>
        <row r="13">
          <cell r="F13">
            <v>69</v>
          </cell>
        </row>
        <row r="14">
          <cell r="F14">
            <v>79.599999999999994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6D4E-B0E6-410C-A74F-8E5900E2524E}">
  <dimension ref="A1:BA9"/>
  <sheetViews>
    <sheetView tabSelected="1" topLeftCell="L2" zoomScale="85" zoomScaleNormal="85" workbookViewId="0">
      <selection activeCell="S4" sqref="S4"/>
    </sheetView>
  </sheetViews>
  <sheetFormatPr defaultColWidth="9.36328125" defaultRowHeight="14.5" x14ac:dyDescent="0.35"/>
  <cols>
    <col min="1" max="1" width="10.36328125" style="1" customWidth="1"/>
    <col min="2" max="2" width="47.54296875" style="2" customWidth="1"/>
    <col min="3" max="3" width="18.36328125" style="2" customWidth="1"/>
    <col min="4" max="4" width="16.36328125" style="2" customWidth="1"/>
    <col min="5" max="5" width="7.6328125" style="2" customWidth="1"/>
    <col min="6" max="6" width="15.6328125" style="2" customWidth="1"/>
    <col min="7" max="7" width="11.36328125" style="2" customWidth="1"/>
    <col min="8" max="8" width="15.6328125" style="2" customWidth="1"/>
    <col min="9" max="9" width="12.6328125" style="2" customWidth="1"/>
    <col min="10" max="10" width="64.36328125" style="2" customWidth="1"/>
    <col min="11" max="11" width="14.36328125" style="2" bestFit="1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36328125" style="2" customWidth="1"/>
    <col min="18" max="18" width="9.6328125" style="3" customWidth="1"/>
    <col min="19" max="19" width="12" style="4" customWidth="1"/>
    <col min="20" max="20" width="11.36328125" style="4" customWidth="1"/>
    <col min="21" max="21" width="11.36328125" style="5" customWidth="1"/>
    <col min="22" max="22" width="15.6328125" style="2" customWidth="1"/>
    <col min="23" max="23" width="11" style="6" customWidth="1"/>
    <col min="24" max="24" width="13.36328125" style="6" customWidth="1"/>
    <col min="25" max="25" width="11.36328125" style="6" customWidth="1"/>
    <col min="26" max="26" width="12.6328125" style="3" customWidth="1"/>
    <col min="27" max="27" width="9.36328125" style="7" customWidth="1"/>
    <col min="28" max="28" width="13" style="8" customWidth="1"/>
    <col min="29" max="29" width="14.36328125" style="7" customWidth="1"/>
    <col min="30" max="30" width="13.6328125" style="9" customWidth="1"/>
    <col min="31" max="31" width="13.6328125" style="4" customWidth="1"/>
    <col min="32" max="32" width="14.6328125" style="2" customWidth="1"/>
    <col min="33" max="33" width="8.453125" style="10" customWidth="1"/>
    <col min="34" max="34" width="12.453125" style="4" customWidth="1"/>
    <col min="35" max="35" width="8.6328125" style="4" customWidth="1"/>
    <col min="36" max="36" width="7.6328125" style="10" customWidth="1"/>
    <col min="37" max="37" width="10.36328125" style="4" customWidth="1"/>
    <col min="38" max="38" width="12.6328125" style="10" customWidth="1"/>
    <col min="39" max="39" width="12" style="4" customWidth="1"/>
    <col min="40" max="40" width="11.6328125" style="10" customWidth="1"/>
    <col min="41" max="42" width="10.6328125" style="4" customWidth="1"/>
    <col min="43" max="43" width="9.6328125" style="9" customWidth="1"/>
    <col min="44" max="44" width="9.6328125" style="10" customWidth="1"/>
    <col min="45" max="45" width="10" style="4" customWidth="1"/>
    <col min="46" max="46" width="9.54296875" style="4" customWidth="1"/>
    <col min="47" max="47" width="11.6328125" style="4" customWidth="1"/>
    <col min="48" max="48" width="11.36328125" style="10" customWidth="1"/>
    <col min="49" max="49" width="11.36328125" style="4" customWidth="1"/>
    <col min="50" max="50" width="11.6328125" style="4" customWidth="1"/>
    <col min="51" max="51" width="12.6328125" style="4" customWidth="1"/>
    <col min="52" max="52" width="12.36328125" style="10" customWidth="1"/>
    <col min="53" max="53" width="12.36328125" style="7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6.650000000000006" customHeight="1" x14ac:dyDescent="0.35">
      <c r="A2" s="36">
        <v>1</v>
      </c>
      <c r="B2" s="59"/>
      <c r="C2" s="37"/>
      <c r="D2" s="38" t="s">
        <v>53</v>
      </c>
      <c r="E2" s="38"/>
      <c r="F2" s="38" t="s">
        <v>54</v>
      </c>
      <c r="G2" s="39" t="s">
        <v>55</v>
      </c>
      <c r="H2" s="38" t="s">
        <v>56</v>
      </c>
      <c r="I2" s="38" t="s">
        <v>57</v>
      </c>
      <c r="J2" s="40" t="s">
        <v>58</v>
      </c>
      <c r="K2" s="38" t="s">
        <v>59</v>
      </c>
      <c r="L2" s="38" t="s">
        <v>60</v>
      </c>
      <c r="M2" s="38" t="s">
        <v>61</v>
      </c>
      <c r="N2" s="41" t="s">
        <v>62</v>
      </c>
      <c r="O2" s="42"/>
      <c r="P2" s="38" t="s">
        <v>63</v>
      </c>
      <c r="Q2" s="41">
        <f>'[1]Factory cost-Shine'!F12</f>
        <v>53.1</v>
      </c>
      <c r="R2" s="43">
        <v>7.7</v>
      </c>
      <c r="S2" s="44">
        <f t="shared" ref="S2:S4" si="0">Q2/R2</f>
        <v>6.8961038961038961</v>
      </c>
      <c r="T2" s="44">
        <v>6.9</v>
      </c>
      <c r="U2" s="44"/>
      <c r="V2" s="38" t="s">
        <v>64</v>
      </c>
      <c r="W2" s="45">
        <v>42</v>
      </c>
      <c r="X2" s="45">
        <v>32</v>
      </c>
      <c r="Y2" s="45">
        <v>38</v>
      </c>
      <c r="Z2" s="46">
        <v>8.1999999999999993</v>
      </c>
      <c r="AA2" s="47">
        <v>3</v>
      </c>
      <c r="AB2" s="48">
        <f>IF(W2="","",W2*X2*Y2/1000000)</f>
        <v>5.1071999999999999E-2</v>
      </c>
      <c r="AC2" s="49">
        <f>IF(AA2="","",65/AB2*AA2)</f>
        <v>3818.1390977443612</v>
      </c>
      <c r="AD2" s="50">
        <v>4000</v>
      </c>
      <c r="AE2" s="51">
        <f>IF(ISERROR(AD2/AC2),"",AD2/AC2)</f>
        <v>1.0476307692307691</v>
      </c>
      <c r="AF2" s="38" t="s">
        <v>65</v>
      </c>
      <c r="AG2" s="52">
        <v>0.22800000000000001</v>
      </c>
      <c r="AH2" s="51">
        <f>IF(ISERROR(S2*AG2),"",S2*AG2)</f>
        <v>1.5723116883116883</v>
      </c>
      <c r="AI2" s="51">
        <f t="shared" ref="AI2:AI8" si="1">IF(ISERROR(T2+AE2+AH2),"",T2+AE2+AH2)</f>
        <v>9.5199424575424576</v>
      </c>
      <c r="AJ2" s="53">
        <v>0</v>
      </c>
      <c r="AK2" s="51">
        <f>IF(ISERROR(AW2*AJ2),"",AW2*AJ2)</f>
        <v>0</v>
      </c>
      <c r="AL2" s="53">
        <v>0</v>
      </c>
      <c r="AM2" s="51">
        <f>IF(ISERROR(AW2*AL2),"",AW2*AL2)</f>
        <v>0</v>
      </c>
      <c r="AN2" s="53">
        <v>0</v>
      </c>
      <c r="AO2" s="51">
        <f>IF(ISERROR(AW2*AN2),"",AW2*AN2)</f>
        <v>0</v>
      </c>
      <c r="AP2" s="51">
        <v>0</v>
      </c>
      <c r="AQ2" s="50">
        <v>0</v>
      </c>
      <c r="AR2" s="53">
        <v>0</v>
      </c>
      <c r="AS2" s="51">
        <f>IF(ISERROR(AW2*AR2),"",AW2*AR2)</f>
        <v>0</v>
      </c>
      <c r="AT2" s="51">
        <f>IF(ISERROR(AK2+AM2+AO2+AP2+AS2),"",AK2+AM2+AO2+AP2+AS2)</f>
        <v>0</v>
      </c>
      <c r="AU2" s="54">
        <f>AI2+AT2</f>
        <v>9.5199424575424576</v>
      </c>
      <c r="AV2" s="55">
        <f>IF(ISERROR((AW2-AU2)/AW2),"",(AW2-AU2)/AW2)</f>
        <v>0</v>
      </c>
      <c r="AW2" s="54">
        <f>AI2</f>
        <v>9.5199424575424576</v>
      </c>
      <c r="AX2" s="51">
        <f t="shared" ref="AX2:AX4" si="2">IF(ISERROR(AY2*(1-AZ2)),"",AY2*(1-AZ2))</f>
        <v>19.995000000000001</v>
      </c>
      <c r="AY2" s="56">
        <v>39.99</v>
      </c>
      <c r="AZ2" s="53">
        <v>0.5</v>
      </c>
      <c r="BA2" s="47">
        <v>24</v>
      </c>
    </row>
    <row r="3" spans="1:53" ht="66.650000000000006" customHeight="1" x14ac:dyDescent="0.35">
      <c r="A3" s="36">
        <v>2</v>
      </c>
      <c r="B3" s="60"/>
      <c r="C3" s="37"/>
      <c r="D3" s="38" t="s">
        <v>53</v>
      </c>
      <c r="E3" s="38"/>
      <c r="F3" s="38" t="s">
        <v>54</v>
      </c>
      <c r="G3" s="39" t="s">
        <v>55</v>
      </c>
      <c r="H3" s="38" t="s">
        <v>66</v>
      </c>
      <c r="I3" s="38" t="s">
        <v>67</v>
      </c>
      <c r="J3" s="40" t="s">
        <v>58</v>
      </c>
      <c r="K3" s="38" t="s">
        <v>59</v>
      </c>
      <c r="L3" s="38" t="s">
        <v>68</v>
      </c>
      <c r="M3" s="38" t="s">
        <v>61</v>
      </c>
      <c r="N3" s="41" t="s">
        <v>69</v>
      </c>
      <c r="O3" s="42"/>
      <c r="P3" s="38" t="s">
        <v>63</v>
      </c>
      <c r="Q3" s="41">
        <f>'[1]Factory cost-Shine'!F13</f>
        <v>69</v>
      </c>
      <c r="R3" s="43">
        <v>7.7</v>
      </c>
      <c r="S3" s="44">
        <f t="shared" si="0"/>
        <v>8.9610389610389607</v>
      </c>
      <c r="T3" s="44">
        <v>8.9600000000000009</v>
      </c>
      <c r="U3" s="44"/>
      <c r="V3" s="38" t="s">
        <v>64</v>
      </c>
      <c r="W3" s="45">
        <v>42</v>
      </c>
      <c r="X3" s="45">
        <v>32</v>
      </c>
      <c r="Y3" s="45">
        <v>40</v>
      </c>
      <c r="Z3" s="46">
        <v>10.9</v>
      </c>
      <c r="AA3" s="47">
        <v>3</v>
      </c>
      <c r="AB3" s="48">
        <f>IF(W3="","",W3*X3*Y3/1000000)</f>
        <v>5.3760000000000002E-2</v>
      </c>
      <c r="AC3" s="49">
        <f>IF(AA3="","",65/AB3*AA3)</f>
        <v>3627.2321428571431</v>
      </c>
      <c r="AD3" s="50">
        <v>4000</v>
      </c>
      <c r="AE3" s="51">
        <f>IF(ISERROR(AD3/AC3),"",AD3/AC3)</f>
        <v>1.1027692307692307</v>
      </c>
      <c r="AF3" s="38" t="s">
        <v>65</v>
      </c>
      <c r="AG3" s="52">
        <v>0.22800000000000001</v>
      </c>
      <c r="AH3" s="51">
        <f>IF(ISERROR(S3*AG3),"",S3*AG3)</f>
        <v>2.0431168831168831</v>
      </c>
      <c r="AI3" s="51">
        <f t="shared" si="1"/>
        <v>12.105886113886115</v>
      </c>
      <c r="AJ3" s="53">
        <v>0</v>
      </c>
      <c r="AK3" s="51">
        <f>IF(ISERROR(AW3*AJ3),"",AW3*AJ3)</f>
        <v>0</v>
      </c>
      <c r="AL3" s="53">
        <v>0</v>
      </c>
      <c r="AM3" s="51">
        <f>IF(ISERROR(AW3*AL3),"",AW3*AL3)</f>
        <v>0</v>
      </c>
      <c r="AN3" s="53">
        <v>0</v>
      </c>
      <c r="AO3" s="51">
        <f>IF(ISERROR(AW3*AN3),"",AW3*AN3)</f>
        <v>0</v>
      </c>
      <c r="AP3" s="51">
        <v>0</v>
      </c>
      <c r="AQ3" s="50">
        <v>0</v>
      </c>
      <c r="AR3" s="53">
        <v>0</v>
      </c>
      <c r="AS3" s="51">
        <f>IF(ISERROR(AW3*AR3),"",AW3*AR3)</f>
        <v>0</v>
      </c>
      <c r="AT3" s="51">
        <f>IF(ISERROR(AK3+AM3+AO3+AP3+AS3),"",AK3+AM3+AO3+AP3+AS3)</f>
        <v>0</v>
      </c>
      <c r="AU3" s="54">
        <f>IF(ISERROR(AI3+AT3),"",AI3+AT3)</f>
        <v>12.105886113886115</v>
      </c>
      <c r="AV3" s="55">
        <f>IF(ISERROR((AW3-AU3)/AW3),"",(AW3-AU3)/AW3)</f>
        <v>0</v>
      </c>
      <c r="AW3" s="54">
        <f>AI3</f>
        <v>12.105886113886115</v>
      </c>
      <c r="AX3" s="51">
        <f t="shared" si="2"/>
        <v>24.995000000000001</v>
      </c>
      <c r="AY3" s="56">
        <v>49.99</v>
      </c>
      <c r="AZ3" s="53">
        <v>0.5</v>
      </c>
      <c r="BA3" s="47">
        <v>144</v>
      </c>
    </row>
    <row r="4" spans="1:53" ht="66.650000000000006" customHeight="1" x14ac:dyDescent="0.35">
      <c r="A4" s="36">
        <v>3</v>
      </c>
      <c r="B4" s="60"/>
      <c r="C4" s="37"/>
      <c r="D4" s="38" t="s">
        <v>53</v>
      </c>
      <c r="E4" s="38"/>
      <c r="F4" s="38" t="s">
        <v>54</v>
      </c>
      <c r="G4" s="39" t="s">
        <v>55</v>
      </c>
      <c r="H4" s="38" t="s">
        <v>66</v>
      </c>
      <c r="I4" s="38" t="s">
        <v>67</v>
      </c>
      <c r="J4" s="40" t="s">
        <v>58</v>
      </c>
      <c r="K4" s="38" t="s">
        <v>59</v>
      </c>
      <c r="L4" s="38" t="s">
        <v>70</v>
      </c>
      <c r="M4" s="38" t="s">
        <v>61</v>
      </c>
      <c r="N4" s="41" t="s">
        <v>71</v>
      </c>
      <c r="O4" s="42"/>
      <c r="P4" s="38" t="s">
        <v>63</v>
      </c>
      <c r="Q4" s="41">
        <f>'[1]Factory cost-Shine'!F14</f>
        <v>79.599999999999994</v>
      </c>
      <c r="R4" s="43">
        <v>7.7</v>
      </c>
      <c r="S4" s="44">
        <f t="shared" si="0"/>
        <v>10.337662337662337</v>
      </c>
      <c r="T4" s="44">
        <v>10.34</v>
      </c>
      <c r="U4" s="44"/>
      <c r="V4" s="38" t="s">
        <v>64</v>
      </c>
      <c r="W4" s="45">
        <v>42</v>
      </c>
      <c r="X4" s="45">
        <v>32</v>
      </c>
      <c r="Y4" s="45">
        <v>40</v>
      </c>
      <c r="Z4" s="46">
        <v>12.4</v>
      </c>
      <c r="AA4" s="47">
        <v>3</v>
      </c>
      <c r="AB4" s="48">
        <f>IF(W4="","",W4*X4*Y4/1000000)</f>
        <v>5.3760000000000002E-2</v>
      </c>
      <c r="AC4" s="49">
        <f>IF(AA4="","",65/AB4*AA4)</f>
        <v>3627.2321428571431</v>
      </c>
      <c r="AD4" s="50">
        <v>4000</v>
      </c>
      <c r="AE4" s="51">
        <f>IF(ISERROR(AD4/AC4),"",AD4/AC4)</f>
        <v>1.1027692307692307</v>
      </c>
      <c r="AF4" s="38" t="s">
        <v>65</v>
      </c>
      <c r="AG4" s="52">
        <v>0.22800000000000001</v>
      </c>
      <c r="AH4" s="51">
        <f>IF(ISERROR(S4*AG4),"",S4*AG4)</f>
        <v>2.356987012987013</v>
      </c>
      <c r="AI4" s="51">
        <f t="shared" si="1"/>
        <v>13.799756243756242</v>
      </c>
      <c r="AJ4" s="53">
        <v>0</v>
      </c>
      <c r="AK4" s="51">
        <f>IF(ISERROR(AW4*AJ4),"",AW4*AJ4)</f>
        <v>0</v>
      </c>
      <c r="AL4" s="53">
        <v>0</v>
      </c>
      <c r="AM4" s="51">
        <f>IF(ISERROR(AW4*AL4),"",AW4*AL4)</f>
        <v>0</v>
      </c>
      <c r="AN4" s="53">
        <v>0</v>
      </c>
      <c r="AO4" s="51">
        <f>IF(ISERROR(AW4*AN4),"",AW4*AN4)</f>
        <v>0</v>
      </c>
      <c r="AP4" s="51">
        <v>0</v>
      </c>
      <c r="AQ4" s="50">
        <v>0</v>
      </c>
      <c r="AR4" s="53">
        <v>0</v>
      </c>
      <c r="AS4" s="51">
        <f>IF(ISERROR(AW4*AR4),"",AW4*AR4)</f>
        <v>0</v>
      </c>
      <c r="AT4" s="51">
        <f>IF(ISERROR(AK4+AM4+AO4+AP4+AS4),"",AK4+AM4+AO4+AP4+AS4)</f>
        <v>0</v>
      </c>
      <c r="AU4" s="54">
        <f>IF(ISERROR(AI4+AT4),"",AI4+AT4)</f>
        <v>13.799756243756242</v>
      </c>
      <c r="AV4" s="55">
        <f>IF(ISERROR((AW4-AU4)/AW4),"",(AW4-AU4)/AW4)</f>
        <v>0</v>
      </c>
      <c r="AW4" s="54">
        <f>AI4</f>
        <v>13.799756243756242</v>
      </c>
      <c r="AX4" s="51">
        <f t="shared" si="2"/>
        <v>29.995000000000001</v>
      </c>
      <c r="AY4" s="56">
        <v>59.99</v>
      </c>
      <c r="AZ4" s="53">
        <v>0.5</v>
      </c>
      <c r="BA4" s="47">
        <v>132</v>
      </c>
    </row>
    <row r="5" spans="1:53" ht="44" customHeight="1" x14ac:dyDescent="0.35">
      <c r="A5" s="36">
        <v>5</v>
      </c>
      <c r="B5" s="60"/>
      <c r="C5" s="57"/>
      <c r="D5" s="38" t="s">
        <v>53</v>
      </c>
      <c r="E5" s="38"/>
      <c r="F5" s="38" t="s">
        <v>54</v>
      </c>
      <c r="G5" s="39" t="s">
        <v>55</v>
      </c>
      <c r="H5" s="58" t="s">
        <v>72</v>
      </c>
      <c r="I5" s="38" t="s">
        <v>73</v>
      </c>
      <c r="J5" s="38" t="s">
        <v>74</v>
      </c>
      <c r="K5" s="38" t="s">
        <v>75</v>
      </c>
      <c r="L5" s="40" t="s">
        <v>76</v>
      </c>
      <c r="M5" s="38" t="s">
        <v>61</v>
      </c>
      <c r="N5" s="41" t="s">
        <v>77</v>
      </c>
      <c r="O5" s="42"/>
      <c r="P5" s="38" t="s">
        <v>63</v>
      </c>
      <c r="Q5" s="38">
        <f>'[1]Factory cost-Shine'!F6</f>
        <v>85.83</v>
      </c>
      <c r="R5" s="43">
        <v>7.7</v>
      </c>
      <c r="S5" s="44">
        <f t="shared" ref="S5:S8" si="3">IF(ISERROR(Q5/R5),"",Q5/R5)</f>
        <v>11.146753246753246</v>
      </c>
      <c r="T5" s="44">
        <v>11.15</v>
      </c>
      <c r="U5" s="44"/>
      <c r="V5" s="38" t="s">
        <v>64</v>
      </c>
      <c r="W5" s="45">
        <v>42</v>
      </c>
      <c r="X5" s="45">
        <v>32</v>
      </c>
      <c r="Y5" s="45">
        <v>45</v>
      </c>
      <c r="Z5" s="46">
        <v>13.6</v>
      </c>
      <c r="AA5" s="47">
        <v>3</v>
      </c>
      <c r="AB5" s="48">
        <f t="shared" ref="AB5" si="4">IF(W5="","",W5*X5*Y5/1000000)</f>
        <v>6.0479999999999999E-2</v>
      </c>
      <c r="AC5" s="49">
        <f t="shared" ref="AC5:AC8" si="5">IF(AA5="","",65/AB5*AA5)</f>
        <v>3224.2063492063489</v>
      </c>
      <c r="AD5" s="50">
        <v>4000</v>
      </c>
      <c r="AE5" s="51">
        <f t="shared" ref="AE5:AE8" si="6">IF(ISERROR(AD5/AC5),"",AD5/AC5)</f>
        <v>1.2406153846153847</v>
      </c>
      <c r="AF5" s="38" t="s">
        <v>65</v>
      </c>
      <c r="AG5" s="52">
        <v>0.22800000000000001</v>
      </c>
      <c r="AH5" s="51">
        <f t="shared" ref="AH5:AH8" si="7">IF(ISERROR(S5*AG5),"",S5*AG5)</f>
        <v>2.5414597402597403</v>
      </c>
      <c r="AI5" s="51">
        <f t="shared" si="1"/>
        <v>14.932075124875126</v>
      </c>
      <c r="AJ5" s="53">
        <v>0</v>
      </c>
      <c r="AK5" s="51">
        <f t="shared" ref="AK5:AK8" si="8">IF(ISERROR(AW5*AJ5),"",AW5*AJ5)</f>
        <v>0</v>
      </c>
      <c r="AL5" s="53">
        <v>0</v>
      </c>
      <c r="AM5" s="51">
        <f t="shared" ref="AM5:AM8" si="9">IF(ISERROR(AW5*AL5),"",AW5*AL5)</f>
        <v>0</v>
      </c>
      <c r="AN5" s="53">
        <v>0</v>
      </c>
      <c r="AO5" s="51">
        <f t="shared" ref="AO5:AO8" si="10">IF(ISERROR(AW5*AN5),"",AW5*AN5)</f>
        <v>0</v>
      </c>
      <c r="AP5" s="51">
        <v>0</v>
      </c>
      <c r="AQ5" s="50">
        <v>0</v>
      </c>
      <c r="AR5" s="53">
        <v>0</v>
      </c>
      <c r="AS5" s="51">
        <f t="shared" ref="AS5:AS8" si="11">IF(ISERROR(AW5*AR5),"",AW5*AR5)</f>
        <v>0</v>
      </c>
      <c r="AT5" s="51">
        <f t="shared" ref="AT5:AT8" si="12">IF(ISERROR(AK5+AM5+AO5+AP5+AS5),"",AK5+AM5+AO5+AP5+AS5)</f>
        <v>0</v>
      </c>
      <c r="AU5" s="54">
        <f t="shared" ref="AU5:AU8" si="13">IF(ISERROR(AI5+AT5),"",AI5+AT5)</f>
        <v>14.932075124875126</v>
      </c>
      <c r="AV5" s="55">
        <f t="shared" ref="AV5:AV8" si="14">IF(ISERROR((AW5-AU5)/AW5),"",(AW5-AU5)/AW5)</f>
        <v>0.31817008562214028</v>
      </c>
      <c r="AW5" s="54">
        <f t="shared" ref="AW5:AW8" si="15">IF(AX5="","",AX5/1.05)</f>
        <v>21.9</v>
      </c>
      <c r="AX5" s="51">
        <f t="shared" ref="AX5:AX6" si="16">IF(ISERROR(AY5*(1-AZ5)),"",AY5*(1-AZ5))</f>
        <v>22.995000000000001</v>
      </c>
      <c r="AY5" s="56">
        <v>45.99</v>
      </c>
      <c r="AZ5" s="53">
        <v>0.5</v>
      </c>
      <c r="BA5" s="47">
        <v>30</v>
      </c>
    </row>
    <row r="6" spans="1:53" ht="44" customHeight="1" x14ac:dyDescent="0.35">
      <c r="A6" s="36">
        <v>6</v>
      </c>
      <c r="B6" s="60"/>
      <c r="C6" s="57"/>
      <c r="D6" s="38" t="s">
        <v>53</v>
      </c>
      <c r="E6" s="38"/>
      <c r="F6" s="38" t="s">
        <v>54</v>
      </c>
      <c r="G6" s="39" t="s">
        <v>55</v>
      </c>
      <c r="H6" s="58" t="s">
        <v>78</v>
      </c>
      <c r="I6" s="38" t="s">
        <v>79</v>
      </c>
      <c r="J6" s="38" t="s">
        <v>74</v>
      </c>
      <c r="K6" s="38" t="s">
        <v>75</v>
      </c>
      <c r="L6" s="40" t="s">
        <v>80</v>
      </c>
      <c r="M6" s="38" t="s">
        <v>61</v>
      </c>
      <c r="N6" s="41" t="s">
        <v>81</v>
      </c>
      <c r="O6" s="42"/>
      <c r="P6" s="38" t="s">
        <v>63</v>
      </c>
      <c r="Q6" s="38">
        <f>'[1]Factory cost-Shine'!F8</f>
        <v>108.21</v>
      </c>
      <c r="R6" s="43">
        <v>7.7</v>
      </c>
      <c r="S6" s="44">
        <f t="shared" si="3"/>
        <v>14.053246753246752</v>
      </c>
      <c r="T6" s="44">
        <v>14.05</v>
      </c>
      <c r="U6" s="44"/>
      <c r="V6" s="38" t="s">
        <v>64</v>
      </c>
      <c r="W6" s="45">
        <v>42</v>
      </c>
      <c r="X6" s="45">
        <v>32</v>
      </c>
      <c r="Y6" s="45">
        <v>51</v>
      </c>
      <c r="Z6" s="46">
        <v>16.399999999999999</v>
      </c>
      <c r="AA6" s="47">
        <v>3</v>
      </c>
      <c r="AB6" s="48">
        <f>IF(W6="","",W6*X6*Y6/1000000)</f>
        <v>6.8543999999999994E-2</v>
      </c>
      <c r="AC6" s="49">
        <f t="shared" si="5"/>
        <v>2844.8879551820728</v>
      </c>
      <c r="AD6" s="50">
        <v>4000</v>
      </c>
      <c r="AE6" s="51">
        <f t="shared" si="6"/>
        <v>1.4060307692307692</v>
      </c>
      <c r="AF6" s="38" t="s">
        <v>65</v>
      </c>
      <c r="AG6" s="52">
        <v>0.22800000000000001</v>
      </c>
      <c r="AH6" s="51">
        <f t="shared" si="7"/>
        <v>3.2041402597402597</v>
      </c>
      <c r="AI6" s="51">
        <f t="shared" si="1"/>
        <v>18.660171028971028</v>
      </c>
      <c r="AJ6" s="53">
        <v>0</v>
      </c>
      <c r="AK6" s="51">
        <f t="shared" si="8"/>
        <v>0</v>
      </c>
      <c r="AL6" s="53">
        <v>0</v>
      </c>
      <c r="AM6" s="51">
        <f t="shared" si="9"/>
        <v>0</v>
      </c>
      <c r="AN6" s="53">
        <v>0</v>
      </c>
      <c r="AO6" s="51">
        <f t="shared" si="10"/>
        <v>0</v>
      </c>
      <c r="AP6" s="51">
        <v>0</v>
      </c>
      <c r="AQ6" s="50">
        <v>0</v>
      </c>
      <c r="AR6" s="53">
        <v>0</v>
      </c>
      <c r="AS6" s="51">
        <f t="shared" si="11"/>
        <v>0</v>
      </c>
      <c r="AT6" s="51">
        <f t="shared" si="12"/>
        <v>0</v>
      </c>
      <c r="AU6" s="54">
        <f t="shared" si="13"/>
        <v>18.660171028971028</v>
      </c>
      <c r="AV6" s="55">
        <f t="shared" si="14"/>
        <v>0.21611603999121501</v>
      </c>
      <c r="AW6" s="54">
        <f t="shared" si="15"/>
        <v>23.804761904761904</v>
      </c>
      <c r="AX6" s="51">
        <f t="shared" si="16"/>
        <v>24.995000000000001</v>
      </c>
      <c r="AY6" s="56">
        <v>49.99</v>
      </c>
      <c r="AZ6" s="53">
        <v>0.5</v>
      </c>
      <c r="BA6" s="47">
        <v>78</v>
      </c>
    </row>
    <row r="7" spans="1:53" ht="44" customHeight="1" x14ac:dyDescent="0.35">
      <c r="A7" s="36">
        <v>7</v>
      </c>
      <c r="B7" s="60"/>
      <c r="C7" s="57"/>
      <c r="D7" s="38" t="s">
        <v>53</v>
      </c>
      <c r="E7" s="38"/>
      <c r="F7" s="38" t="s">
        <v>54</v>
      </c>
      <c r="G7" s="39" t="s">
        <v>55</v>
      </c>
      <c r="H7" s="58" t="s">
        <v>78</v>
      </c>
      <c r="I7" s="38" t="s">
        <v>79</v>
      </c>
      <c r="J7" s="38" t="s">
        <v>74</v>
      </c>
      <c r="K7" s="38" t="s">
        <v>75</v>
      </c>
      <c r="L7" s="40" t="s">
        <v>82</v>
      </c>
      <c r="M7" s="38" t="s">
        <v>61</v>
      </c>
      <c r="N7" s="41" t="s">
        <v>83</v>
      </c>
      <c r="O7" s="42"/>
      <c r="P7" s="38" t="s">
        <v>63</v>
      </c>
      <c r="Q7" s="38">
        <f>'[1]Factory cost-Shine'!F9</f>
        <v>115.34</v>
      </c>
      <c r="R7" s="43">
        <v>7.7</v>
      </c>
      <c r="S7" s="44">
        <f t="shared" si="3"/>
        <v>14.97922077922078</v>
      </c>
      <c r="T7" s="44">
        <v>14.98</v>
      </c>
      <c r="U7" s="44"/>
      <c r="V7" s="38" t="s">
        <v>64</v>
      </c>
      <c r="W7" s="45">
        <v>42</v>
      </c>
      <c r="X7" s="45">
        <v>32</v>
      </c>
      <c r="Y7" s="45">
        <v>51</v>
      </c>
      <c r="Z7" s="46">
        <v>17.899999999999999</v>
      </c>
      <c r="AA7" s="47">
        <v>3</v>
      </c>
      <c r="AB7" s="48">
        <f t="shared" ref="AB7:AB8" si="17">IF(W7="","",W7*X7*Y7/1000000)</f>
        <v>6.8543999999999994E-2</v>
      </c>
      <c r="AC7" s="49">
        <f t="shared" si="5"/>
        <v>2844.8879551820728</v>
      </c>
      <c r="AD7" s="50">
        <v>4000</v>
      </c>
      <c r="AE7" s="51">
        <f t="shared" si="6"/>
        <v>1.4060307692307692</v>
      </c>
      <c r="AF7" s="38" t="s">
        <v>65</v>
      </c>
      <c r="AG7" s="52">
        <v>0.22800000000000001</v>
      </c>
      <c r="AH7" s="51">
        <f t="shared" si="7"/>
        <v>3.4152623376623379</v>
      </c>
      <c r="AI7" s="51">
        <f t="shared" si="1"/>
        <v>19.801293106893109</v>
      </c>
      <c r="AJ7" s="53">
        <v>0</v>
      </c>
      <c r="AK7" s="51">
        <f t="shared" si="8"/>
        <v>0</v>
      </c>
      <c r="AL7" s="53">
        <v>0</v>
      </c>
      <c r="AM7" s="51">
        <f t="shared" si="9"/>
        <v>0</v>
      </c>
      <c r="AN7" s="53">
        <v>0</v>
      </c>
      <c r="AO7" s="51">
        <f t="shared" si="10"/>
        <v>0</v>
      </c>
      <c r="AP7" s="51">
        <v>0</v>
      </c>
      <c r="AQ7" s="50">
        <v>0</v>
      </c>
      <c r="AR7" s="53">
        <v>0</v>
      </c>
      <c r="AS7" s="51">
        <f t="shared" si="11"/>
        <v>0</v>
      </c>
      <c r="AT7" s="51">
        <f t="shared" si="12"/>
        <v>0</v>
      </c>
      <c r="AU7" s="54">
        <f t="shared" si="13"/>
        <v>19.801293106893109</v>
      </c>
      <c r="AV7" s="55">
        <f t="shared" si="14"/>
        <v>0.24381313830740994</v>
      </c>
      <c r="AW7" s="54">
        <f t="shared" si="15"/>
        <v>26.185714285714287</v>
      </c>
      <c r="AX7" s="51">
        <f>IF(ISERROR(AY7*(1-AZ7)),"",AY7*(1-AZ7))</f>
        <v>27.495000000000001</v>
      </c>
      <c r="AY7" s="56">
        <v>54.99</v>
      </c>
      <c r="AZ7" s="53">
        <v>0.5</v>
      </c>
      <c r="BA7" s="47">
        <v>366</v>
      </c>
    </row>
    <row r="8" spans="1:53" ht="43.25" customHeight="1" x14ac:dyDescent="0.35">
      <c r="A8" s="36">
        <v>8</v>
      </c>
      <c r="B8" s="61"/>
      <c r="C8" s="57"/>
      <c r="D8" s="38" t="s">
        <v>53</v>
      </c>
      <c r="E8" s="38"/>
      <c r="F8" s="38" t="s">
        <v>54</v>
      </c>
      <c r="G8" s="39" t="s">
        <v>55</v>
      </c>
      <c r="H8" s="58" t="s">
        <v>78</v>
      </c>
      <c r="I8" s="38" t="s">
        <v>79</v>
      </c>
      <c r="J8" s="38" t="s">
        <v>74</v>
      </c>
      <c r="K8" s="38" t="s">
        <v>75</v>
      </c>
      <c r="L8" s="40" t="s">
        <v>84</v>
      </c>
      <c r="M8" s="38" t="s">
        <v>61</v>
      </c>
      <c r="N8" s="41" t="s">
        <v>85</v>
      </c>
      <c r="O8" s="42"/>
      <c r="P8" s="38" t="s">
        <v>63</v>
      </c>
      <c r="Q8" s="38">
        <f>'[1]Factory cost-Shine'!F10</f>
        <v>131.97</v>
      </c>
      <c r="R8" s="43">
        <v>7.7</v>
      </c>
      <c r="S8" s="44">
        <f t="shared" si="3"/>
        <v>17.138961038961039</v>
      </c>
      <c r="T8" s="44">
        <v>17.14</v>
      </c>
      <c r="U8" s="44"/>
      <c r="V8" s="38" t="s">
        <v>64</v>
      </c>
      <c r="W8" s="45">
        <v>42</v>
      </c>
      <c r="X8" s="45">
        <v>32</v>
      </c>
      <c r="Y8" s="45">
        <v>57</v>
      </c>
      <c r="Z8" s="46">
        <v>20.399999999999999</v>
      </c>
      <c r="AA8" s="47">
        <v>3</v>
      </c>
      <c r="AB8" s="48">
        <f t="shared" si="17"/>
        <v>7.6607999999999996E-2</v>
      </c>
      <c r="AC8" s="49">
        <f t="shared" si="5"/>
        <v>2545.4260651629074</v>
      </c>
      <c r="AD8" s="50">
        <v>4000</v>
      </c>
      <c r="AE8" s="51">
        <f t="shared" si="6"/>
        <v>1.5714461538461537</v>
      </c>
      <c r="AF8" s="38" t="s">
        <v>65</v>
      </c>
      <c r="AG8" s="52">
        <v>0.22800000000000001</v>
      </c>
      <c r="AH8" s="51">
        <f t="shared" si="7"/>
        <v>3.907683116883117</v>
      </c>
      <c r="AI8" s="51">
        <f t="shared" si="1"/>
        <v>22.619129270729271</v>
      </c>
      <c r="AJ8" s="53">
        <v>0</v>
      </c>
      <c r="AK8" s="51">
        <f t="shared" si="8"/>
        <v>0</v>
      </c>
      <c r="AL8" s="53">
        <v>0</v>
      </c>
      <c r="AM8" s="51">
        <f t="shared" si="9"/>
        <v>0</v>
      </c>
      <c r="AN8" s="53">
        <v>0</v>
      </c>
      <c r="AO8" s="51">
        <f t="shared" si="10"/>
        <v>0</v>
      </c>
      <c r="AP8" s="51">
        <v>0</v>
      </c>
      <c r="AQ8" s="50">
        <v>0</v>
      </c>
      <c r="AR8" s="53">
        <v>0</v>
      </c>
      <c r="AS8" s="51">
        <f t="shared" si="11"/>
        <v>0</v>
      </c>
      <c r="AT8" s="51">
        <f t="shared" si="12"/>
        <v>0</v>
      </c>
      <c r="AU8" s="54">
        <f t="shared" si="13"/>
        <v>22.619129270729271</v>
      </c>
      <c r="AV8" s="55">
        <f t="shared" si="14"/>
        <v>0.26911568751297926</v>
      </c>
      <c r="AW8" s="54">
        <f t="shared" si="15"/>
        <v>30.947619047619042</v>
      </c>
      <c r="AX8" s="51">
        <f>IF(ISERROR(AY8*(1-AZ8)),"",AY8*(1-AZ8))</f>
        <v>32.494999999999997</v>
      </c>
      <c r="AY8" s="56">
        <v>64.989999999999995</v>
      </c>
      <c r="AZ8" s="53">
        <v>0.5</v>
      </c>
      <c r="BA8" s="47">
        <v>231</v>
      </c>
    </row>
    <row r="9" spans="1:53" x14ac:dyDescent="0.35">
      <c r="U9" s="4"/>
    </row>
  </sheetData>
  <sheetProtection insertRows="0" deleteRows="0" sort="0"/>
  <protectedRanges>
    <protectedRange sqref="A5:F8 R5:T8 A9:J254 O5:P8 Z5:BA8 L5:L8 V5:V8 L9:BA254" name="Range1"/>
    <protectedRange sqref="K9:K252" name="Range1_1"/>
    <protectedRange sqref="H5:J8" name="Range1_4"/>
    <protectedRange sqref="K5:K8" name="Range1_1_2"/>
    <protectedRange sqref="Q5:Q8" name="Range1_7"/>
    <protectedRange sqref="O2:R4 Z2:AE4 A2:C4 V2:V4 E2:G4 G5:G8 L2:M4 M5:M8 AG2:BA4" name="Range1_3"/>
    <protectedRange sqref="H2:J4" name="Range1_4_1"/>
    <protectedRange sqref="K2:K4" name="Range1_1_2_1"/>
    <protectedRange sqref="AF2:AF4" name="Range1_2_1"/>
    <protectedRange sqref="D2:D4" name="Range1_6"/>
    <protectedRange sqref="S2:U2 S3:T4 U3:U8" name="Range1_12"/>
  </protectedRanges>
  <mergeCells count="1">
    <mergeCell ref="B2:B8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2026-04-09T09:25:27Z</dcterms:created>
  <dcterms:modified xsi:type="dcterms:W3CDTF">2026-04-09T09:32:18Z</dcterms:modified>
</cp:coreProperties>
</file>