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" i="5" l="1"/>
  <c r="U2" i="5"/>
  <c r="AP3" i="5"/>
  <c r="AP2" i="5"/>
  <c r="AS3" i="5" l="1"/>
  <c r="AS2" i="5"/>
  <c r="AT2" i="5" s="1"/>
  <c r="AV2" i="5" s="1"/>
  <c r="AT3" i="5" l="1"/>
  <c r="AV3" i="5" s="1"/>
  <c r="BI3" i="5"/>
  <c r="BB3" i="5" s="1"/>
  <c r="BI2" i="5"/>
  <c r="V3" i="5"/>
  <c r="V2" i="5"/>
  <c r="BB2" i="5" l="1"/>
  <c r="BE2" i="5"/>
  <c r="BT3" i="5"/>
  <c r="BS3" i="5" s="1"/>
  <c r="BT2" i="5"/>
  <c r="BS2" i="5" s="1"/>
  <c r="BK3" i="5"/>
  <c r="BK2" i="5"/>
  <c r="BE3" i="5"/>
  <c r="BR2" i="5"/>
  <c r="AQ3" i="5"/>
  <c r="AQ2" i="5"/>
  <c r="BV2" i="5" l="1"/>
  <c r="BR3" i="5"/>
  <c r="AX3" i="5"/>
  <c r="BF3" i="5" l="1"/>
  <c r="BV3" i="5"/>
  <c r="AE3" i="5" l="1"/>
  <c r="AL3" i="5" s="1"/>
  <c r="AN3" i="5" s="1"/>
  <c r="AR3" i="5" s="1"/>
  <c r="BU3" i="5" s="1"/>
  <c r="AE2" i="5"/>
  <c r="AL2" i="5" s="1"/>
  <c r="AN2" i="5" s="1"/>
  <c r="AR2" i="5" s="1"/>
  <c r="BU2" i="5" s="1"/>
  <c r="BG3" i="5" l="1"/>
  <c r="BM3" i="5" s="1"/>
  <c r="BN3" i="5" s="1"/>
  <c r="BH3" i="5" l="1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1"/>
            <rFont val="Calibri"/>
            <family val="2"/>
          </rPr>
          <t>=[Standard Price]</t>
        </r>
      </text>
    </comment>
    <comment ref="BS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T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U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V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<sst xmlns="http://schemas.openxmlformats.org/spreadsheetml/2006/main" count="103" uniqueCount="91">
  <si>
    <t>Yes</t>
  </si>
  <si>
    <t>Brand</t>
  </si>
  <si>
    <t>Package Type</t>
  </si>
  <si>
    <t>Licensor</t>
  </si>
  <si>
    <t>Normal</t>
  </si>
  <si>
    <t>Harbor House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</si>
  <si>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</si>
  <si>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</si>
  <si>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</si>
  <si>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</si>
  <si>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</si>
  <si>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</si>
  <si>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</si>
  <si>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</si>
  <si>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</si>
  <si>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</si>
  <si>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</si>
  <si>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</si>
  <si>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</si>
  <si>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</si>
  <si>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</si>
  <si>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</si>
  <si>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</si>
  <si>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</si>
  <si>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</si>
  <si>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</si>
  <si>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</si>
  <si>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</si>
  <si>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</si>
  <si>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</si>
  <si>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</si>
  <si>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</si>
  <si>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</si>
  <si>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</si>
  <si>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</si>
  <si>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</si>
  <si>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</si>
  <si>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</si>
  <si>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</si>
  <si>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DUVET&amp;DUVET SET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</si>
  <si>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</si>
  <si>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</si>
  <si>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</si>
  <si>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</si>
  <si>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</si>
  <si>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</si>
  <si>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</si>
  <si>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</si>
  <si>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</si>
  <si>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</si>
  <si>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</si>
  <si>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</si>
  <si>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</si>
  <si>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</si>
  <si>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</si>
  <si>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</si>
  <si>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</si>
  <si>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</si>
  <si>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</si>
  <si>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</si>
  <si>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</si>
  <si>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</si>
  <si>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</si>
  <si>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</si>
  <si>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</si>
  <si>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</si>
  <si>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</si>
  <si>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</si>
  <si>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</si>
  <si>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</si>
  <si>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</si>
  <si>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</si>
  <si>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</si>
  <si>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Cubic cm per Item</t>
  </si>
  <si>
    <t>Cubic ft per Item</t>
  </si>
  <si>
    <t>Ship8 Charge Rate</t>
  </si>
  <si>
    <t>Ship8 Charge $</t>
  </si>
  <si>
    <t>Average Load Marketing</t>
    <phoneticPr fontId="11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</si>
  <si>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11" type="noConversion"/>
  </si>
  <si>
    <t>Maison Tropical</t>
    <phoneticPr fontId="11" type="noConversion"/>
  </si>
  <si>
    <t>3pcs Duvet Set</t>
    <phoneticPr fontId="11" type="noConversion"/>
  </si>
  <si>
    <t xml:space="preserve">F/Q: 90x94“+2“  /20*26"+2”(2)
                      </t>
    <phoneticPr fontId="11" type="noConversion"/>
  </si>
  <si>
    <t xml:space="preserve">K/CK:108x94”+2“ /20*36"(2)+2”
</t>
    <phoneticPr fontId="11" type="noConversion"/>
  </si>
  <si>
    <t>Fabric: 240gsm jacquard  75% cotton 25% polyester, back: 148TC solid percale
Duvet: Knife edge on three sides, 2" self hem on the bottom with hidden buttons
Shams: knife edge, " open back and 8" overlap on the back. Printed box with shipping box. Case Pack=4</t>
    <phoneticPr fontId="11" type="noConversion"/>
  </si>
  <si>
    <t>75% cotton 25% poly Jacquard</t>
    <phoneticPr fontId="11" type="noConversion"/>
  </si>
  <si>
    <t>Light Grey</t>
    <phoneticPr fontId="11" type="noConversion"/>
  </si>
  <si>
    <t>6302.31.9050</t>
    <phoneticPr fontId="11" type="noConversion"/>
  </si>
  <si>
    <t>HH12-2039</t>
  </si>
  <si>
    <t>HH12-2038</t>
  </si>
  <si>
    <t>75% cotton 25% poly Jacquard</t>
    <phoneticPr fontId="11" type="noConversion"/>
  </si>
  <si>
    <t>75% Cotton 25% Polyester 3pcs Duvet Set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</si>
</sst>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182" formatCode="[$¥-804]#,##0.00"/>
    <numFmt numFmtId="183" formatCode="0_);[Red]\(0\)"/>
  </numFmts>
  <fonts count="16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182" fontId="0" fillId="0" borderId="0"/>
    <xf numFmtId="182" fontId="4" fillId="0" borderId="0"/>
    <xf numFmtId="182" fontId="4" fillId="0" borderId="0"/>
    <xf numFmtId="182" fontId="4" fillId="0" borderId="0"/>
    <xf numFmtId="182" fontId="3" fillId="0" borderId="0"/>
    <xf numFmtId="9" fontId="3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2" fontId="4" fillId="0" borderId="0"/>
    <xf numFmtId="182" fontId="10" fillId="0" borderId="0">
      <alignment vertical="center"/>
    </xf>
    <xf numFmtId="9" fontId="10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2" fontId="4" fillId="0" borderId="0"/>
    <xf numFmtId="182" fontId="1" fillId="0" borderId="0"/>
    <xf numFmtId="9" fontId="1" fillId="0" borderId="0" applyFont="0" applyFill="0" applyBorder="0" applyAlignment="0" applyProtection="0"/>
    <xf numFmtId="182" fontId="12" fillId="0" borderId="0"/>
    <xf numFmtId="182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2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0" fillId="0" borderId="0">
      <alignment vertical="center"/>
    </xf>
  </cellStyleXfs>
  <cellXfs count="79">
    <xf numFmtId="182" fontId="0" fillId="0" borderId="0" xfId="0"/>
    <xf numFmtId="182" fontId="3" fillId="0" borderId="0" xfId="4" applyAlignment="1">
      <alignment horizontal="center" wrapText="1"/>
    </xf>
    <xf numFmtId="182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2" fontId="2" fillId="0" borderId="1" xfId="4" applyFont="1" applyBorder="1" applyAlignment="1">
      <alignment horizontal="center" wrapText="1"/>
    </xf>
    <xf numFmtId="182" fontId="2" fillId="5" borderId="1" xfId="4" applyFont="1" applyFill="1" applyBorder="1" applyAlignment="1">
      <alignment horizontal="center" wrapText="1"/>
    </xf>
    <xf numFmtId="182" fontId="8" fillId="5" borderId="1" xfId="4" applyFont="1" applyFill="1" applyBorder="1" applyAlignment="1">
      <alignment horizontal="center" wrapText="1"/>
    </xf>
    <xf numFmtId="182" fontId="8" fillId="6" borderId="1" xfId="4" applyFont="1" applyFill="1" applyBorder="1" applyAlignment="1">
      <alignment horizontal="center" wrapText="1"/>
    </xf>
    <xf numFmtId="182" fontId="2" fillId="6" borderId="1" xfId="4" applyFont="1" applyFill="1" applyBorder="1" applyAlignment="1">
      <alignment horizontal="center" wrapText="1"/>
    </xf>
    <xf numFmtId="182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182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0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1" fontId="6" fillId="0" borderId="4" xfId="1" applyNumberFormat="1" applyFont="1" applyBorder="1" applyAlignment="1">
      <alignment horizontal="center" wrapText="1"/>
    </xf>
    <xf numFmtId="182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2" fontId="9" fillId="0" borderId="1" xfId="1" applyNumberFormat="1" applyFont="1" applyBorder="1" applyAlignment="1">
      <alignment wrapText="1"/>
    </xf>
    <xf numFmtId="183" fontId="3" fillId="0" borderId="1" xfId="4" applyNumberFormat="1" applyBorder="1" applyAlignment="1">
      <alignment horizontal="center" vertical="center"/>
    </xf>
    <xf numFmtId="182" fontId="3" fillId="0" borderId="1" xfId="4" applyBorder="1" applyAlignment="1">
      <alignment horizontal="center" vertical="center"/>
    </xf>
    <xf numFmtId="182" fontId="3" fillId="9" borderId="1" xfId="4" applyFill="1" applyBorder="1" applyAlignment="1">
      <alignment horizontal="center" vertical="center" wrapText="1"/>
    </xf>
    <xf numFmtId="182" fontId="3" fillId="0" borderId="4" xfId="4" applyBorder="1" applyAlignment="1">
      <alignment horizontal="center" vertical="center" wrapText="1"/>
    </xf>
    <xf numFmtId="182" fontId="3" fillId="0" borderId="1" xfId="4" applyBorder="1" applyAlignment="1">
      <alignment horizontal="center" vertical="center" wrapText="1"/>
    </xf>
    <xf numFmtId="182" fontId="3" fillId="0" borderId="4" xfId="4" applyBorder="1" applyAlignment="1">
      <alignment horizontal="center" vertical="center"/>
    </xf>
    <xf numFmtId="182" fontId="3" fillId="6" borderId="1" xfId="4" applyFill="1" applyBorder="1" applyAlignment="1">
      <alignment horizontal="center" vertical="center"/>
    </xf>
    <xf numFmtId="182" fontId="3" fillId="6" borderId="1" xfId="4" quotePrefix="1" applyFill="1" applyBorder="1" applyAlignment="1">
      <alignment horizontal="center" vertical="center"/>
    </xf>
    <xf numFmtId="1" fontId="3" fillId="0" borderId="1" xfId="4" applyNumberFormat="1" applyBorder="1" applyAlignment="1">
      <alignment horizontal="center"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/>
    </xf>
    <xf numFmtId="2" fontId="3" fillId="0" borderId="5" xfId="4" applyNumberFormat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2" fontId="3" fillId="0" borderId="4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4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78" fontId="3" fillId="0" borderId="1" xfId="4" applyNumberFormat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77" fontId="3" fillId="6" borderId="1" xfId="4" applyNumberFormat="1" applyFill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4" xfId="4" applyNumberFormat="1" applyBorder="1" applyAlignment="1">
      <alignment horizontal="center" vertical="center"/>
    </xf>
    <xf numFmtId="177" fontId="3" fillId="0" borderId="4" xfId="4" applyNumberFormat="1" applyBorder="1" applyAlignment="1">
      <alignment horizontal="center" vertical="center"/>
    </xf>
    <xf numFmtId="10" fontId="3" fillId="2" borderId="5" xfId="4" applyNumberFormat="1" applyFill="1" applyBorder="1" applyAlignment="1">
      <alignment horizontal="center" vertical="center"/>
    </xf>
    <xf numFmtId="177" fontId="3" fillId="0" borderId="0" xfId="4" applyNumberFormat="1" applyAlignment="1">
      <alignment horizontal="center" vertical="center"/>
    </xf>
    <xf numFmtId="177" fontId="3" fillId="2" borderId="4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182" fontId="3" fillId="0" borderId="0" xfId="4" applyAlignment="1">
      <alignment horizontal="center" vertical="center"/>
    </xf>
  </cellXfs>
  <cellStyles count="27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5"/>
  <sheetViews>
    <sheetView tabSelected="1" topLeftCell="O1" zoomScale="115" zoomScaleNormal="115" workbookViewId="0">
      <selection activeCell="X2" sqref="X2"/>
    </sheetView>
  </sheetViews>
  <sheetFormatPr defaultColWidth="9.140625" defaultRowHeight="15"/>
  <cols>
    <col min="1" max="1" width="9.5703125" style="1" customWidth="1"/>
    <col min="2" max="2" width="10" style="2" customWidth="1"/>
    <col min="3" max="3" width="11.42578125" style="2" customWidth="1"/>
    <col min="4" max="4" width="19.140625" style="2" bestFit="1" customWidth="1"/>
    <col min="5" max="5" width="7.7109375" style="2" customWidth="1"/>
    <col min="6" max="6" width="18.28515625" style="2" customWidth="1"/>
    <col min="7" max="7" width="14.85546875" style="2" customWidth="1"/>
    <col min="8" max="8" width="19.42578125" style="2" customWidth="1"/>
    <col min="9" max="9" width="21" style="2" customWidth="1"/>
    <col min="10" max="10" width="43.28515625" style="2" customWidth="1"/>
    <col min="11" max="11" width="20" style="2" customWidth="1"/>
    <col min="12" max="12" width="27" style="2" customWidth="1"/>
    <col min="13" max="13" width="12" style="2" customWidth="1"/>
    <col min="14" max="14" width="8.85546875" style="2" customWidth="1"/>
    <col min="15" max="15" width="12.7109375" style="2" customWidth="1"/>
    <col min="16" max="16" width="14.570312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3.4257812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6.28515625" style="20" customWidth="1"/>
    <col min="28" max="28" width="7.85546875" style="19" customWidth="1"/>
    <col min="29" max="29" width="11.425781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6" width="11.5703125" style="19" customWidth="1"/>
    <col min="47" max="47" width="9.140625" style="19" customWidth="1"/>
    <col min="48" max="48" width="8.140625" style="3" customWidth="1"/>
    <col min="49" max="49" width="10.85546875" style="4" customWidth="1"/>
    <col min="50" max="50" width="8.140625" style="3" customWidth="1"/>
    <col min="51" max="51" width="9.140625" style="4" customWidth="1"/>
    <col min="52" max="52" width="11.7109375" style="3" customWidth="1"/>
    <col min="53" max="53" width="9.28515625" style="4" customWidth="1"/>
    <col min="54" max="54" width="6.85546875" style="4" customWidth="1"/>
    <col min="55" max="55" width="9.140625" style="4" customWidth="1"/>
    <col min="56" max="56" width="7.42578125" style="4" customWidth="1"/>
    <col min="57" max="57" width="7.7109375" style="4" customWidth="1"/>
    <col min="58" max="58" width="11.42578125" style="4" customWidth="1"/>
    <col min="59" max="59" width="11.85546875" style="2" customWidth="1"/>
    <col min="60" max="60" width="11.28515625" style="24" customWidth="1"/>
    <col min="61" max="61" width="9.85546875" style="4" customWidth="1"/>
    <col min="62" max="62" width="15" style="3" customWidth="1"/>
    <col min="63" max="63" width="10.140625" style="4" customWidth="1"/>
    <col min="64" max="64" width="8.85546875" style="4" customWidth="1"/>
    <col min="65" max="65" width="10.85546875" style="4" customWidth="1"/>
    <col min="66" max="66" width="8.140625" style="3" customWidth="1"/>
    <col min="67" max="69" width="10.42578125" style="4" customWidth="1"/>
    <col min="70" max="70" width="12.42578125" style="2" customWidth="1"/>
    <col min="71" max="71" width="10.42578125" style="2" customWidth="1"/>
    <col min="72" max="72" width="9.5703125" style="2" customWidth="1"/>
    <col min="73" max="73" width="13.42578125" style="2" customWidth="1"/>
    <col min="74" max="74" width="13.42578125" style="3" customWidth="1"/>
    <col min="75" max="16384" width="9.140625" style="2"/>
  </cols>
  <sheetData>
    <row r="1" spans="1:74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44</v>
      </c>
      <c r="L1" s="9" t="s">
        <v>15</v>
      </c>
      <c r="M1" s="9" t="s">
        <v>16</v>
      </c>
      <c r="N1" s="6" t="s">
        <v>43</v>
      </c>
      <c r="O1" s="6" t="s">
        <v>17</v>
      </c>
      <c r="P1" s="6" t="s">
        <v>18</v>
      </c>
      <c r="Q1" s="6" t="s">
        <v>41</v>
      </c>
      <c r="R1" s="43" t="s">
        <v>70</v>
      </c>
      <c r="S1" s="9" t="s">
        <v>19</v>
      </c>
      <c r="T1" s="12" t="s">
        <v>38</v>
      </c>
      <c r="U1" s="29" t="s">
        <v>40</v>
      </c>
      <c r="V1" s="40" t="s">
        <v>64</v>
      </c>
      <c r="W1" s="30" t="s">
        <v>46</v>
      </c>
      <c r="X1" s="39" t="s">
        <v>45</v>
      </c>
      <c r="Y1" s="10" t="s">
        <v>2</v>
      </c>
      <c r="Z1" s="21" t="s">
        <v>20</v>
      </c>
      <c r="AA1" s="21" t="s">
        <v>21</v>
      </c>
      <c r="AB1" s="21" t="s">
        <v>22</v>
      </c>
      <c r="AC1" s="44" t="s">
        <v>71</v>
      </c>
      <c r="AD1" s="12" t="s">
        <v>23</v>
      </c>
      <c r="AE1" s="26" t="s">
        <v>24</v>
      </c>
      <c r="AF1" s="42" t="s">
        <v>69</v>
      </c>
      <c r="AG1" s="21" t="s">
        <v>65</v>
      </c>
      <c r="AH1" s="21" t="s">
        <v>66</v>
      </c>
      <c r="AI1" s="21" t="s">
        <v>67</v>
      </c>
      <c r="AJ1" s="11" t="s">
        <v>68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46" t="s">
        <v>73</v>
      </c>
      <c r="AT1" s="46" t="s">
        <v>74</v>
      </c>
      <c r="AU1" s="11" t="s">
        <v>75</v>
      </c>
      <c r="AV1" s="15" t="s">
        <v>76</v>
      </c>
      <c r="AW1" s="16" t="s">
        <v>33</v>
      </c>
      <c r="AX1" s="15" t="s">
        <v>34</v>
      </c>
      <c r="AY1" s="16" t="s">
        <v>35</v>
      </c>
      <c r="AZ1" s="15" t="s">
        <v>78</v>
      </c>
      <c r="BA1" s="16" t="s">
        <v>51</v>
      </c>
      <c r="BB1" s="15" t="s">
        <v>50</v>
      </c>
      <c r="BC1" s="23" t="s">
        <v>47</v>
      </c>
      <c r="BD1" s="16" t="s">
        <v>48</v>
      </c>
      <c r="BE1" s="15" t="s">
        <v>49</v>
      </c>
      <c r="BF1" s="15" t="s">
        <v>36</v>
      </c>
      <c r="BG1" s="25" t="s">
        <v>37</v>
      </c>
      <c r="BH1" s="18" t="s">
        <v>42</v>
      </c>
      <c r="BI1" s="41" t="s">
        <v>52</v>
      </c>
      <c r="BJ1" s="31" t="s">
        <v>54</v>
      </c>
      <c r="BK1" s="15" t="s">
        <v>55</v>
      </c>
      <c r="BL1" s="32" t="s">
        <v>56</v>
      </c>
      <c r="BM1" s="25" t="s">
        <v>57</v>
      </c>
      <c r="BN1" s="45" t="s">
        <v>58</v>
      </c>
      <c r="BO1" s="34" t="s">
        <v>53</v>
      </c>
      <c r="BP1" s="34" t="s">
        <v>72</v>
      </c>
      <c r="BQ1" s="33"/>
      <c r="BR1" s="36" t="s">
        <v>59</v>
      </c>
      <c r="BS1" s="37" t="s">
        <v>61</v>
      </c>
      <c r="BT1" s="36" t="s">
        <v>60</v>
      </c>
      <c r="BU1" s="37" t="s">
        <v>63</v>
      </c>
      <c r="BV1" s="38" t="s">
        <v>62</v>
      </c>
    </row>
    <row r="2" spans="1:74" s="78" customFormat="1" ht="104.1" customHeight="1">
      <c r="A2" s="47">
        <v>1</v>
      </c>
      <c r="B2" s="48"/>
      <c r="C2" s="48"/>
      <c r="D2" s="48" t="s">
        <v>5</v>
      </c>
      <c r="E2" s="48"/>
      <c r="F2" s="48" t="s">
        <v>39</v>
      </c>
      <c r="G2" s="48" t="s">
        <v>79</v>
      </c>
      <c r="H2" s="48" t="s">
        <v>90</v>
      </c>
      <c r="I2" s="48" t="s">
        <v>80</v>
      </c>
      <c r="J2" s="49" t="s">
        <v>83</v>
      </c>
      <c r="K2" s="50" t="s">
        <v>89</v>
      </c>
      <c r="L2" s="51" t="s">
        <v>81</v>
      </c>
      <c r="M2" s="52" t="s">
        <v>85</v>
      </c>
      <c r="N2" s="50"/>
      <c r="O2" s="53" t="s">
        <v>88</v>
      </c>
      <c r="P2" s="54"/>
      <c r="Q2" s="48"/>
      <c r="R2" s="52"/>
      <c r="S2" s="48" t="s">
        <v>6</v>
      </c>
      <c r="T2" s="55">
        <v>252</v>
      </c>
      <c r="U2" s="56">
        <f>X2*0.95</f>
        <v>28.5</v>
      </c>
      <c r="V2" s="57">
        <f>IF(W2="","",X2*W2)</f>
        <v>234</v>
      </c>
      <c r="W2" s="58">
        <v>7.8</v>
      </c>
      <c r="X2" s="59">
        <v>30</v>
      </c>
      <c r="Y2" s="48" t="s">
        <v>4</v>
      </c>
      <c r="Z2" s="60">
        <v>56</v>
      </c>
      <c r="AA2" s="60">
        <v>46</v>
      </c>
      <c r="AB2" s="60">
        <v>40</v>
      </c>
      <c r="AC2" s="61"/>
      <c r="AD2" s="55">
        <v>4</v>
      </c>
      <c r="AE2" s="62">
        <f t="shared" ref="AE2:AE3" si="0">IF(Z2="","",Z2*AA2*AB2/1000000)</f>
        <v>0.10299999999999999</v>
      </c>
      <c r="AF2" s="63" t="s">
        <v>0</v>
      </c>
      <c r="AG2" s="60">
        <v>17</v>
      </c>
      <c r="AH2" s="60">
        <v>15</v>
      </c>
      <c r="AI2" s="60">
        <v>8</v>
      </c>
      <c r="AJ2" s="64"/>
      <c r="AK2" s="64">
        <v>65</v>
      </c>
      <c r="AL2" s="65">
        <f t="shared" ref="AL2:AL3" si="1">IF(AD2="","",AK2/AE2*AD2)</f>
        <v>2524</v>
      </c>
      <c r="AM2" s="66">
        <v>4000</v>
      </c>
      <c r="AN2" s="67">
        <f>IF(ISERROR(AM2/AL2),"",AM2/AL2)</f>
        <v>1.58</v>
      </c>
      <c r="AO2" s="48" t="s">
        <v>86</v>
      </c>
      <c r="AP2" s="68">
        <f>6.7%+7.5%+10%</f>
        <v>0.24199999999999999</v>
      </c>
      <c r="AQ2" s="67">
        <f t="shared" ref="AQ2:AQ3" si="2">IF(ISERROR(X2*AP2),"",X2*AP2)</f>
        <v>7.26</v>
      </c>
      <c r="AR2" s="67">
        <f t="shared" ref="AR2:AR3" si="3">IF(ISERROR(X2+AN2+AQ2),"",X2+AN2+AQ2)</f>
        <v>38.840000000000003</v>
      </c>
      <c r="AS2" s="57">
        <f>IF(ISERROR(Z2*AA2*AB2/AD2),"",Z2*AA2*AB2/AD2)</f>
        <v>25760</v>
      </c>
      <c r="AT2" s="57">
        <f>IF(ISERROR(AS2/28316.847),"",AS2/28316.847)</f>
        <v>0.91</v>
      </c>
      <c r="AU2" s="64">
        <v>4</v>
      </c>
      <c r="AV2" s="67">
        <f>IF(ISERROR(AT2*AU2),"",AT2*AU2)</f>
        <v>3.64</v>
      </c>
      <c r="AW2" s="69">
        <v>0.1</v>
      </c>
      <c r="AX2" s="67">
        <f t="shared" ref="AX2:AX3" si="4">IF(ISERROR(BI2*AW2),"",BI2*AW2)</f>
        <v>12.5</v>
      </c>
      <c r="AY2" s="69">
        <v>0</v>
      </c>
      <c r="AZ2" s="70">
        <v>0.92</v>
      </c>
      <c r="BA2" s="69">
        <v>0</v>
      </c>
      <c r="BB2" s="67">
        <f>IF(ISERROR(BI2*BA2),"",BI2*BA2)</f>
        <v>0</v>
      </c>
      <c r="BC2" s="59" t="s">
        <v>77</v>
      </c>
      <c r="BD2" s="69">
        <v>0.15</v>
      </c>
      <c r="BE2" s="67">
        <f>IF(ISERROR(BI2*BD2),"",BI2*BD2)</f>
        <v>18.75</v>
      </c>
      <c r="BF2" s="67">
        <f>IF(ISERROR(AV2+AX2+AZ2+BB2+BE2),"",AV2+AX2+AZ2+BB2+BE2)</f>
        <v>35.81</v>
      </c>
      <c r="BG2" s="67">
        <f t="shared" ref="BG2:BG3" si="5">IF(ISERROR(AR2+BF2),"",AR2+BF2)</f>
        <v>74.650000000000006</v>
      </c>
      <c r="BH2" s="71">
        <f t="shared" ref="BH2:BH3" si="6">IF(ISERROR((BI2-BG2)/BI2),"",(BI2-BG2)/BI2)</f>
        <v>0.40279999999999999</v>
      </c>
      <c r="BI2" s="67">
        <f>IF(BO2="","",BO2*(1-BP2))</f>
        <v>125</v>
      </c>
      <c r="BJ2" s="72">
        <v>0.3</v>
      </c>
      <c r="BK2" s="67">
        <f>IF(BJ2="","",BO2*BJ2)</f>
        <v>75</v>
      </c>
      <c r="BL2" s="73">
        <v>15</v>
      </c>
      <c r="BM2" s="67">
        <f>IF(ISERROR(BG2+BK2+BL2),"",BG2+BK2+BL2)</f>
        <v>164.65</v>
      </c>
      <c r="BN2" s="74">
        <f>IF(BO2="","",(BO2-BM2)/BO2)</f>
        <v>0.34139999999999998</v>
      </c>
      <c r="BO2" s="73">
        <v>249.99</v>
      </c>
      <c r="BP2" s="72">
        <v>0.5</v>
      </c>
      <c r="BQ2" s="75"/>
      <c r="BR2" s="76">
        <f>BI2</f>
        <v>125</v>
      </c>
      <c r="BS2" s="35">
        <f>IF(BT2="","",CEILING(BT2/0.9 - 0.01, 10) - 0.01)</f>
        <v>279.99</v>
      </c>
      <c r="BT2" s="76">
        <f>IF(BO2="","",BO2)</f>
        <v>249.99</v>
      </c>
      <c r="BU2" s="77">
        <f t="shared" ref="BU2:BU3" si="7">IF(BR2="","",(BR2-AR2)/BR2)</f>
        <v>0.68930000000000002</v>
      </c>
      <c r="BV2" s="77">
        <f>IF(BS2="","",(BS2-BR2)/BS2)</f>
        <v>0.55359999999999998</v>
      </c>
    </row>
    <row r="3" spans="1:74" s="78" customFormat="1" ht="104.1" customHeight="1">
      <c r="A3" s="47">
        <v>2</v>
      </c>
      <c r="B3" s="48"/>
      <c r="C3" s="48"/>
      <c r="D3" s="48" t="s">
        <v>5</v>
      </c>
      <c r="E3" s="48"/>
      <c r="F3" s="48" t="s">
        <v>39</v>
      </c>
      <c r="G3" s="48" t="s">
        <v>79</v>
      </c>
      <c r="H3" s="48" t="s">
        <v>90</v>
      </c>
      <c r="I3" s="48" t="s">
        <v>80</v>
      </c>
      <c r="J3" s="49" t="s">
        <v>83</v>
      </c>
      <c r="K3" s="50" t="s">
        <v>84</v>
      </c>
      <c r="L3" s="51" t="s">
        <v>82</v>
      </c>
      <c r="M3" s="52" t="s">
        <v>85</v>
      </c>
      <c r="N3" s="50"/>
      <c r="O3" s="53" t="s">
        <v>87</v>
      </c>
      <c r="P3" s="54"/>
      <c r="Q3" s="48"/>
      <c r="R3" s="52"/>
      <c r="S3" s="48" t="s">
        <v>6</v>
      </c>
      <c r="T3" s="55">
        <v>252</v>
      </c>
      <c r="U3" s="56">
        <f>X3*0.95</f>
        <v>33.979999999999997</v>
      </c>
      <c r="V3" s="57">
        <f t="shared" ref="V3" si="8">IF(W3="","",X3*W3)</f>
        <v>279.01</v>
      </c>
      <c r="W3" s="58">
        <v>7.8</v>
      </c>
      <c r="X3" s="59">
        <v>35.770000000000003</v>
      </c>
      <c r="Y3" s="48" t="s">
        <v>4</v>
      </c>
      <c r="Z3" s="60">
        <v>56</v>
      </c>
      <c r="AA3" s="60">
        <v>46</v>
      </c>
      <c r="AB3" s="60">
        <v>40</v>
      </c>
      <c r="AC3" s="61"/>
      <c r="AD3" s="55">
        <v>4</v>
      </c>
      <c r="AE3" s="62">
        <f t="shared" si="0"/>
        <v>0.10299999999999999</v>
      </c>
      <c r="AF3" s="63" t="s">
        <v>0</v>
      </c>
      <c r="AG3" s="60">
        <v>17</v>
      </c>
      <c r="AH3" s="60">
        <v>15</v>
      </c>
      <c r="AI3" s="60">
        <v>8</v>
      </c>
      <c r="AJ3" s="64"/>
      <c r="AK3" s="64">
        <v>65</v>
      </c>
      <c r="AL3" s="65">
        <f t="shared" si="1"/>
        <v>2524</v>
      </c>
      <c r="AM3" s="66">
        <v>4000</v>
      </c>
      <c r="AN3" s="67">
        <f t="shared" ref="AN3" si="9">IF(ISERROR(AM3/AL3),"",AM3/AL3)</f>
        <v>1.58</v>
      </c>
      <c r="AO3" s="48" t="s">
        <v>86</v>
      </c>
      <c r="AP3" s="68">
        <f>6.7%+7.5%+10%</f>
        <v>0.24199999999999999</v>
      </c>
      <c r="AQ3" s="67">
        <f t="shared" si="2"/>
        <v>8.66</v>
      </c>
      <c r="AR3" s="67">
        <f t="shared" si="3"/>
        <v>46.01</v>
      </c>
      <c r="AS3" s="57">
        <f t="shared" ref="AS3" si="10">IF(ISERROR(Z3*AA3*AB3/AD3),"",Z3*AA3*AB3/AD3)</f>
        <v>25760</v>
      </c>
      <c r="AT3" s="57">
        <f>IF(ISERROR(AS3/28316.847),"",AS3/28316.847)</f>
        <v>0.91</v>
      </c>
      <c r="AU3" s="64">
        <v>4</v>
      </c>
      <c r="AV3" s="67">
        <f t="shared" ref="AV3" si="11">IF(ISERROR(AT3*AU3),"",AT3*AU3)</f>
        <v>3.64</v>
      </c>
      <c r="AW3" s="69">
        <v>0.1</v>
      </c>
      <c r="AX3" s="67">
        <f t="shared" si="4"/>
        <v>15</v>
      </c>
      <c r="AY3" s="69">
        <v>0</v>
      </c>
      <c r="AZ3" s="70">
        <v>0.92</v>
      </c>
      <c r="BA3" s="69">
        <v>0</v>
      </c>
      <c r="BB3" s="67">
        <f t="shared" ref="BB3" si="12">IF(ISERROR(BI3*BA3),"",BI3*BA3)</f>
        <v>0</v>
      </c>
      <c r="BC3" s="59" t="s">
        <v>77</v>
      </c>
      <c r="BD3" s="69">
        <v>0.15</v>
      </c>
      <c r="BE3" s="67">
        <f t="shared" ref="BE3" si="13">IF(ISERROR(BI3*BD3),"",BI3*BD3)</f>
        <v>22.5</v>
      </c>
      <c r="BF3" s="67">
        <f>IF(ISERROR(AV3+AX3+AZ3+BB3+BE3),"",AV3+AX3+AZ3+BB3+BE3)</f>
        <v>42.06</v>
      </c>
      <c r="BG3" s="67">
        <f t="shared" si="5"/>
        <v>88.07</v>
      </c>
      <c r="BH3" s="71">
        <f t="shared" si="6"/>
        <v>0.41289999999999999</v>
      </c>
      <c r="BI3" s="67">
        <f t="shared" ref="BI3" si="14">IF(BO3="","",BO3*(1-BP3))</f>
        <v>150</v>
      </c>
      <c r="BJ3" s="72">
        <v>0.3</v>
      </c>
      <c r="BK3" s="67">
        <f t="shared" ref="BK3" si="15">IF(BJ3="","",BO3*BJ3)</f>
        <v>90</v>
      </c>
      <c r="BL3" s="73">
        <v>15</v>
      </c>
      <c r="BM3" s="67">
        <f t="shared" ref="BM3" si="16">IF(ISERROR(BG3+BK3+BL3),"",BG3+BK3+BL3)</f>
        <v>193.07</v>
      </c>
      <c r="BN3" s="74">
        <f t="shared" ref="BN3" si="17">IF(BO3="","",(BO3-BM3)/BO3)</f>
        <v>0.35639999999999999</v>
      </c>
      <c r="BO3" s="73">
        <v>299.99</v>
      </c>
      <c r="BP3" s="72">
        <v>0.5</v>
      </c>
      <c r="BQ3" s="75"/>
      <c r="BR3" s="76">
        <f t="shared" ref="BR3" si="18">BI3</f>
        <v>150</v>
      </c>
      <c r="BS3" s="35">
        <f t="shared" ref="BS3" si="19">IF(BT3="","",CEILING(BT3/0.9 - 0.01, 10) - 0.01)</f>
        <v>339.99</v>
      </c>
      <c r="BT3" s="76">
        <f t="shared" ref="BT3" si="20">IF(BO3="","",BO3)</f>
        <v>299.99</v>
      </c>
      <c r="BU3" s="77">
        <f t="shared" si="7"/>
        <v>0.69330000000000003</v>
      </c>
      <c r="BV3" s="77">
        <f t="shared" ref="BV3" si="21">IF(BS3="","",(BS3-BR3)/BS3)</f>
        <v>0.55879999999999996</v>
      </c>
    </row>
    <row r="4" spans="1:74">
      <c r="T4" s="2"/>
    </row>
    <row r="5" spans="1:74">
      <c r="AT5" s="22"/>
      <c r="AU5" s="22"/>
      <c r="AV5" s="20"/>
      <c r="AW5" s="19"/>
      <c r="AX5" s="19"/>
      <c r="AY5" s="20"/>
      <c r="AZ5" s="2"/>
      <c r="BA5" s="2"/>
      <c r="BB5" s="22"/>
      <c r="BC5" s="20"/>
      <c r="BD5" s="19"/>
      <c r="BE5" s="27"/>
      <c r="BH5" s="3"/>
      <c r="BJ5" s="4"/>
      <c r="BM5" s="3"/>
      <c r="BN5" s="19"/>
      <c r="BO5" s="19"/>
    </row>
  </sheetData>
  <sheetProtection insertRows="0" deleteRows="0" sort="0"/>
  <protectedRanges>
    <protectedRange sqref="Y2:Y3 AK2:AL3 AU6:BF84 AE2:AF3 Y8:AT84 V2:W3 BN2:BN3 AQ2:BL3 AN2:AN3 A2:J3 L2:S3 A4:BF4 A5:B85 D5:E85 Y5:BO5 C5:C84 U5:X84 F5:S84" name="Range1"/>
    <protectedRange sqref="Z2:AC3 AG2:AJ3" name="Range1_2"/>
    <protectedRange sqref="AM2:AM3" name="Range1_3"/>
    <protectedRange sqref="AO2:AP3" name="Range1_4"/>
    <protectedRange sqref="T2:T3" name="Range1_6"/>
    <protectedRange sqref="K2:K3" name="Range1_1"/>
  </protectedRanges>
  <phoneticPr fontId="11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D2:D3</xm:sqref>
        </x14:dataValidation>
        <x14:dataValidation type="list" allowBlank="1" showInputMessage="1" showErrorMessage="1">
          <x14:formula1>
            <xm:f>#REF!</xm:f>
          </x14:formula1>
          <xm:sqref>E2:E3</xm:sqref>
        </x14:dataValidation>
        <x14:dataValidation type="list" allowBlank="1" showInputMessage="1" showErrorMessage="1">
          <x14:formula1>
            <xm:f>#REF!</xm:f>
          </x14:formula1>
          <xm:sqref>S2:S3</xm:sqref>
        </x14:dataValidation>
        <x14:dataValidation type="list" allowBlank="1" showInputMessage="1" showErrorMessage="1">
          <x14:formula1>
            <xm:f>#REF!</xm:f>
          </x14:formula1>
          <xm:sqref>Y2:Y3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  <x14:dataValidation type="list" allowBlank="1" showInputMessage="1" showErrorMessage="1">
          <x14:formula1>
            <xm:f>#REF!</xm:f>
          </x14:formula1>
          <xm:sqref>AF2:AF3 R2:R3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2026-04-08T08:01:44Z</dcterms:modified>
</cp:coreProperties>
</file>