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18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2" i="5" l="1"/>
  <c r="AS3" i="5" l="1"/>
  <c r="AT3" i="5" s="1"/>
  <c r="AV3" i="5" s="1"/>
  <c r="AS4" i="5"/>
  <c r="AT4" i="5" s="1"/>
  <c r="AV4" i="5" s="1"/>
  <c r="AS2" i="5"/>
  <c r="AT2" i="5" s="1"/>
  <c r="AV2" i="5" s="1"/>
  <c r="BI3" i="5" l="1"/>
  <c r="BI4" i="5"/>
  <c r="BI2" i="5"/>
  <c r="V3" i="5"/>
  <c r="V4" i="5"/>
  <c r="V2" i="5"/>
  <c r="BE4" i="5" l="1"/>
  <c r="AX4" i="5"/>
  <c r="BT3" i="5"/>
  <c r="BS3" i="5" s="1"/>
  <c r="BT4" i="5"/>
  <c r="BS4" i="5" s="1"/>
  <c r="BT2" i="5"/>
  <c r="BS2" i="5" s="1"/>
  <c r="BK3" i="5"/>
  <c r="BK4" i="5"/>
  <c r="BK2" i="5"/>
  <c r="BE3" i="5"/>
  <c r="BR2" i="5"/>
  <c r="AQ3" i="5"/>
  <c r="AQ4" i="5"/>
  <c r="AQ2" i="5"/>
  <c r="BF4" i="5" l="1"/>
  <c r="BV2" i="5"/>
  <c r="BR4" i="5"/>
  <c r="BR3" i="5"/>
  <c r="AX3" i="5"/>
  <c r="BB3" i="5"/>
  <c r="AZ3" i="5"/>
  <c r="BF3" i="5" l="1"/>
  <c r="BV4" i="5"/>
  <c r="BV3" i="5"/>
  <c r="AE4" i="5" l="1"/>
  <c r="AL4" i="5" s="1"/>
  <c r="AN4" i="5" s="1"/>
  <c r="AR4" i="5" s="1"/>
  <c r="AE3" i="5"/>
  <c r="AL3" i="5" s="1"/>
  <c r="AN3" i="5" s="1"/>
  <c r="AR3" i="5" s="1"/>
  <c r="BU3" i="5" s="1"/>
  <c r="AE2" i="5"/>
  <c r="AL2" i="5" s="1"/>
  <c r="AN2" i="5" s="1"/>
  <c r="AR2" i="5" s="1"/>
  <c r="BU2" i="5" s="1"/>
  <c r="BU4" i="5" l="1"/>
  <c r="BG4" i="5"/>
  <c r="BH4" i="5" s="1"/>
  <c r="BG3" i="5" l="1"/>
  <c r="BM3" i="5" s="1"/>
  <c r="BN3" i="5" s="1"/>
  <c r="BM4" i="5"/>
  <c r="BN4" i="5" s="1"/>
  <c r="BH3" i="5" l="1"/>
  <c r="AX2" i="5" l="1"/>
  <c r="AZ2" i="5"/>
  <c r="BB2" i="5"/>
  <c r="BE2" i="5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<sst xmlns="http://schemas.openxmlformats.org/spreadsheetml/2006/main" count="121" uniqueCount="104">
  <si>
    <t>Yes</t>
  </si>
  <si>
    <t>No</t>
  </si>
  <si>
    <t>Brand</t>
  </si>
  <si>
    <t>Package Type</t>
  </si>
  <si>
    <t>Licensor</t>
  </si>
  <si>
    <t>Normal</t>
  </si>
  <si>
    <t>Harbor House Blue</t>
  </si>
  <si>
    <t>Piece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</si>
  <si>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</si>
  <si>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</si>
  <si>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</si>
  <si>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</si>
  <si>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</si>
  <si>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</si>
  <si>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</si>
  <si>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</si>
  <si>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</si>
  <si>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</si>
  <si>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</si>
  <si>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</si>
  <si>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</si>
  <si>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</si>
  <si>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</si>
  <si>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</si>
  <si>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</si>
  <si>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</si>
  <si>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</si>
  <si>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</si>
  <si>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</si>
  <si>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</si>
  <si>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</si>
  <si>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</si>
  <si>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</si>
  <si>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</si>
  <si>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</si>
  <si>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</si>
  <si>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</si>
  <si>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</si>
  <si>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</si>
  <si>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</si>
  <si>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</si>
  <si>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</si>
  <si>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</si>
  <si>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</si>
  <si>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</si>
  <si>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</si>
  <si>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</si>
  <si>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SHOWER CURTAIN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</si>
  <si>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</si>
  <si>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</si>
  <si>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</si>
  <si>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</si>
  <si>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</si>
  <si>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</si>
  <si>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</si>
  <si>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</si>
  <si>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</si>
  <si>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</si>
  <si>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</si>
  <si>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</si>
  <si>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</si>
  <si>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</si>
  <si>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</si>
  <si>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</si>
  <si>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</si>
  <si>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</si>
  <si>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</si>
  <si>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</si>
  <si>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</si>
  <si>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</si>
  <si>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</si>
  <si>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</si>
  <si>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</si>
  <si>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</si>
  <si>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</si>
  <si>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</si>
  <si>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Average Load Marketing</t>
  </si>
  <si>
    <t>Cubic cm per Item</t>
  </si>
  <si>
    <t>Cubic ft per Item</t>
  </si>
  <si>
    <t>Ship8 Charge Rate</t>
  </si>
  <si>
    <t>Ship8 Charge $</t>
  </si>
  <si>
    <t>3pcs Comforter set</t>
  </si>
  <si>
    <t xml:space="preserve">Solace Leaf </t>
    <phoneticPr fontId="11" type="noConversion"/>
  </si>
  <si>
    <t>3pcs Comforter set</t>
    <phoneticPr fontId="11" type="noConversion"/>
  </si>
  <si>
    <t>COMFORTER (SET)</t>
    <phoneticPr fontId="11" type="noConversion"/>
  </si>
  <si>
    <r>
      <t>55%cotton45%poly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yarn dye jacquard</t>
    </r>
    <phoneticPr fontId="11" type="noConversion"/>
  </si>
  <si>
    <t>Queen:92x92"+4"/20x26"(2)</t>
    <phoneticPr fontId="11" type="noConversion"/>
  </si>
  <si>
    <t>Beige</t>
  </si>
  <si>
    <t>Beige</t>
    <phoneticPr fontId="11" type="noConversion"/>
  </si>
  <si>
    <t>Packing:U white card board+Tote bag +insert.</t>
    <phoneticPr fontId="11" type="noConversion"/>
  </si>
  <si>
    <t>9404.40.9005</t>
  </si>
  <si>
    <t>9404.40.9005</t>
    <phoneticPr fontId="11" type="noConversion"/>
  </si>
  <si>
    <r>
      <t>Front fabric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55%cotton45%poly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yarn dye jacquard
Back fabric: 100%cotton 144T, solid
Quilt: 250gsm 100%polyester fiber fill. 2" flange on 3 sides.
Sham: 2"flange. 5" open back and 5" overlap on the back.</t>
    </r>
    <phoneticPr fontId="11" type="noConversion"/>
  </si>
  <si>
    <r>
      <t>Front fabric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55%cotton 45%poly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yarn dye jacquard
Back fabric: 100%cotton 144T, solid
Quilt: 250gsm 100%polyester fiber fill. 2" flange on 3 sides.
Sham: 2"flange. 5" open back and 5" overlap on the back.</t>
    </r>
    <phoneticPr fontId="11" type="noConversion"/>
  </si>
  <si>
    <t>King:110x92"+4"/20x36"(2)</t>
    <phoneticPr fontId="11" type="noConversion"/>
  </si>
  <si>
    <t xml:space="preserve">Shower Curtain </t>
    <phoneticPr fontId="11" type="noConversion"/>
  </si>
  <si>
    <t>Shower Curtain</t>
    <phoneticPr fontId="11" type="noConversion"/>
  </si>
  <si>
    <r>
      <t>55%cotton45%poly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>yarn dye jacquard</t>
    </r>
    <r>
      <rPr>
        <sz val="11"/>
        <rFont val="宋体"/>
        <family val="2"/>
        <charset val="134"/>
      </rPr>
      <t>，</t>
    </r>
    <phoneticPr fontId="11" type="noConversion"/>
  </si>
  <si>
    <t>72”x72"</t>
    <phoneticPr fontId="11" type="noConversion"/>
  </si>
  <si>
    <t>Packing:U white card board+100%cotton ribbon Insert +PE bag</t>
    <phoneticPr fontId="11" type="noConversion"/>
  </si>
  <si>
    <t>6303.91.0010</t>
    <phoneticPr fontId="11" type="noConversion"/>
  </si>
  <si>
    <t>HH10-2029</t>
    <phoneticPr fontId="11" type="noConversion"/>
  </si>
  <si>
    <t>HH10-2030</t>
  </si>
  <si>
    <t>HH70-2031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</si>
</sst>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</numFmts>
  <fonts count="16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1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79" fontId="0" fillId="0" borderId="0"/>
    <xf numFmtId="179" fontId="4" fillId="0" borderId="0"/>
    <xf numFmtId="179" fontId="4" fillId="0" borderId="0"/>
    <xf numFmtId="179" fontId="4" fillId="0" borderId="0"/>
    <xf numFmtId="179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179" fontId="10" fillId="0" borderId="0">
      <alignment vertical="center"/>
    </xf>
    <xf numFmtId="9" fontId="10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179" fontId="1" fillId="0" borderId="0"/>
    <xf numFmtId="9" fontId="1" fillId="0" borderId="0" applyFont="0" applyFill="0" applyBorder="0" applyAlignment="0" applyProtection="0"/>
    <xf numFmtId="179" fontId="12" fillId="0" borderId="0"/>
    <xf numFmtId="179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79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79">
    <xf numFmtId="179" fontId="0" fillId="0" borderId="0" xfId="0"/>
    <xf numFmtId="179" fontId="3" fillId="0" borderId="0" xfId="4" applyAlignment="1">
      <alignment horizontal="center" wrapText="1"/>
    </xf>
    <xf numFmtId="179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79" fontId="2" fillId="0" borderId="1" xfId="4" applyFont="1" applyBorder="1" applyAlignment="1">
      <alignment horizontal="center" wrapText="1"/>
    </xf>
    <xf numFmtId="179" fontId="2" fillId="5" borderId="1" xfId="4" applyFont="1" applyFill="1" applyBorder="1" applyAlignment="1">
      <alignment horizontal="center" wrapText="1"/>
    </xf>
    <xf numFmtId="179" fontId="8" fillId="5" borderId="1" xfId="4" applyFont="1" applyFill="1" applyBorder="1" applyAlignment="1">
      <alignment horizontal="center" wrapText="1"/>
    </xf>
    <xf numFmtId="179" fontId="8" fillId="6" borderId="1" xfId="4" applyFont="1" applyFill="1" applyBorder="1" applyAlignment="1">
      <alignment horizontal="center" wrapText="1"/>
    </xf>
    <xf numFmtId="179" fontId="2" fillId="6" borderId="1" xfId="4" applyFont="1" applyFill="1" applyBorder="1" applyAlignment="1">
      <alignment horizontal="center" wrapText="1"/>
    </xf>
    <xf numFmtId="179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9" fontId="3" fillId="0" borderId="1" xfId="4" applyBorder="1" applyAlignment="1">
      <alignment horizontal="center"/>
    </xf>
    <xf numFmtId="179" fontId="3" fillId="0" borderId="1" xfId="4" applyBorder="1"/>
    <xf numFmtId="179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179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79" fontId="3" fillId="0" borderId="4" xfId="4" applyBorder="1" applyAlignment="1">
      <alignment wrapText="1"/>
    </xf>
    <xf numFmtId="179" fontId="3" fillId="0" borderId="4" xfId="4" applyBorder="1"/>
    <xf numFmtId="181" fontId="3" fillId="0" borderId="1" xfId="4" applyNumberFormat="1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179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3" fillId="2" borderId="1" xfId="4" applyNumberFormat="1" applyFill="1" applyBorder="1"/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3" fontId="3" fillId="0" borderId="4" xfId="4" applyNumberFormat="1" applyBorder="1"/>
    <xf numFmtId="183" fontId="6" fillId="0" borderId="4" xfId="1" applyNumberFormat="1" applyFont="1" applyBorder="1" applyAlignment="1">
      <alignment horizontal="center" wrapText="1"/>
    </xf>
    <xf numFmtId="179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2" fontId="3" fillId="0" borderId="4" xfId="4" applyNumberFormat="1" applyBorder="1"/>
    <xf numFmtId="10" fontId="9" fillId="3" borderId="5" xfId="1" applyNumberFormat="1" applyFont="1" applyFill="1" applyBorder="1" applyAlignment="1">
      <alignment wrapText="1"/>
    </xf>
    <xf numFmtId="10" fontId="3" fillId="2" borderId="5" xfId="4" applyNumberFormat="1" applyFill="1" applyBorder="1"/>
    <xf numFmtId="2" fontId="9" fillId="0" borderId="1" xfId="1" applyNumberFormat="1" applyFont="1" applyBorder="1" applyAlignment="1">
      <alignment wrapText="1"/>
    </xf>
    <xf numFmtId="179" fontId="3" fillId="6" borderId="1" xfId="4" applyFill="1" applyBorder="1"/>
    <xf numFmtId="0" fontId="3" fillId="0" borderId="1" xfId="4" applyNumberFormat="1" applyBorder="1"/>
    <xf numFmtId="0" fontId="3" fillId="0" borderId="4" xfId="4" applyNumberFormat="1" applyBorder="1"/>
    <xf numFmtId="0" fontId="3" fillId="0" borderId="1" xfId="4" applyNumberFormat="1" applyBorder="1" applyAlignment="1">
      <alignment horizontal="center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4"/>
  <sheetViews>
    <sheetView tabSelected="1" zoomScaleNormal="100" workbookViewId="0">
      <selection activeCell="A2" sqref="A2:A4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22.5703125" style="2" customWidth="1"/>
    <col min="7" max="7" width="12.28515625" style="2" bestFit="1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4" width="8.85546875" style="2" customWidth="1"/>
    <col min="15" max="15" width="12.7109375" style="2" customWidth="1"/>
    <col min="16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34" customWidth="1"/>
    <col min="21" max="21" width="8.140625" style="36" customWidth="1"/>
    <col min="22" max="23" width="8.7109375" style="33" customWidth="1"/>
    <col min="24" max="24" width="12.42578125" style="36" customWidth="1"/>
    <col min="25" max="25" width="9.85546875" style="36" customWidth="1"/>
    <col min="26" max="26" width="9" style="36" customWidth="1"/>
    <col min="27" max="27" width="6.28515625" style="34" customWidth="1"/>
    <col min="28" max="28" width="7.85546875" style="33" customWidth="1"/>
    <col min="29" max="29" width="11.42578125" style="33" customWidth="1"/>
    <col min="30" max="30" width="9.85546875" style="34" customWidth="1"/>
    <col min="31" max="32" width="7.85546875" style="2" customWidth="1"/>
    <col min="33" max="33" width="9" style="36" customWidth="1"/>
    <col min="34" max="34" width="9" style="34" customWidth="1"/>
    <col min="35" max="35" width="9" style="33" customWidth="1"/>
    <col min="36" max="36" width="10" style="46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6" width="11.5703125" style="33" customWidth="1"/>
    <col min="47" max="47" width="9.140625" style="33" customWidth="1"/>
    <col min="48" max="48" width="8.140625" style="4" customWidth="1"/>
    <col min="49" max="49" width="10.85546875" style="5" customWidth="1"/>
    <col min="50" max="50" width="8.140625" style="4" customWidth="1"/>
    <col min="51" max="51" width="9.140625" style="5" customWidth="1"/>
    <col min="52" max="52" width="8.140625" style="4" customWidth="1"/>
    <col min="53" max="53" width="9.28515625" style="5" customWidth="1"/>
    <col min="54" max="54" width="6.85546875" style="5" customWidth="1"/>
    <col min="55" max="55" width="9.140625" style="5" customWidth="1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2" customWidth="1"/>
    <col min="60" max="60" width="11.28515625" style="39" customWidth="1"/>
    <col min="61" max="61" width="9.85546875" style="5" customWidth="1"/>
    <col min="62" max="62" width="15" style="4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4" customWidth="1"/>
    <col min="67" max="69" width="10.42578125" style="5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4" customWidth="1"/>
    <col min="75" max="16384" width="9.140625" style="2"/>
  </cols>
  <sheetData>
    <row r="1" spans="1:74" ht="57.95" customHeight="1">
      <c r="A1" s="6" t="s">
        <v>9</v>
      </c>
      <c r="B1" s="6" t="s">
        <v>10</v>
      </c>
      <c r="C1" s="7" t="s">
        <v>11</v>
      </c>
      <c r="D1" s="8" t="s">
        <v>2</v>
      </c>
      <c r="E1" s="8" t="s">
        <v>4</v>
      </c>
      <c r="F1" s="9" t="s">
        <v>12</v>
      </c>
      <c r="G1" s="7" t="s">
        <v>13</v>
      </c>
      <c r="H1" s="10" t="s">
        <v>14</v>
      </c>
      <c r="I1" s="10" t="s">
        <v>15</v>
      </c>
      <c r="J1" s="10" t="s">
        <v>16</v>
      </c>
      <c r="K1" s="47" t="s">
        <v>46</v>
      </c>
      <c r="L1" s="10" t="s">
        <v>17</v>
      </c>
      <c r="M1" s="10" t="s">
        <v>18</v>
      </c>
      <c r="N1" s="7" t="s">
        <v>45</v>
      </c>
      <c r="O1" s="7" t="s">
        <v>19</v>
      </c>
      <c r="P1" s="7" t="s">
        <v>20</v>
      </c>
      <c r="Q1" s="7" t="s">
        <v>43</v>
      </c>
      <c r="R1" s="69" t="s">
        <v>73</v>
      </c>
      <c r="S1" s="10" t="s">
        <v>21</v>
      </c>
      <c r="T1" s="13" t="s">
        <v>41</v>
      </c>
      <c r="U1" s="49" t="s">
        <v>42</v>
      </c>
      <c r="V1" s="65" t="s">
        <v>67</v>
      </c>
      <c r="W1" s="50" t="s">
        <v>49</v>
      </c>
      <c r="X1" s="63" t="s">
        <v>48</v>
      </c>
      <c r="Y1" s="11" t="s">
        <v>3</v>
      </c>
      <c r="Z1" s="35" t="s">
        <v>22</v>
      </c>
      <c r="AA1" s="35" t="s">
        <v>23</v>
      </c>
      <c r="AB1" s="35" t="s">
        <v>24</v>
      </c>
      <c r="AC1" s="70" t="s">
        <v>74</v>
      </c>
      <c r="AD1" s="13" t="s">
        <v>25</v>
      </c>
      <c r="AE1" s="44" t="s">
        <v>26</v>
      </c>
      <c r="AF1" s="68" t="s">
        <v>72</v>
      </c>
      <c r="AG1" s="35" t="s">
        <v>68</v>
      </c>
      <c r="AH1" s="35" t="s">
        <v>69</v>
      </c>
      <c r="AI1" s="35" t="s">
        <v>70</v>
      </c>
      <c r="AJ1" s="12" t="s">
        <v>71</v>
      </c>
      <c r="AK1" s="14" t="s">
        <v>27</v>
      </c>
      <c r="AL1" s="15" t="s">
        <v>28</v>
      </c>
      <c r="AM1" s="6" t="s">
        <v>29</v>
      </c>
      <c r="AN1" s="16" t="s">
        <v>30</v>
      </c>
      <c r="AO1" s="6" t="s">
        <v>31</v>
      </c>
      <c r="AP1" s="17" t="s">
        <v>32</v>
      </c>
      <c r="AQ1" s="18" t="s">
        <v>33</v>
      </c>
      <c r="AR1" s="16" t="s">
        <v>34</v>
      </c>
      <c r="AS1" s="74" t="s">
        <v>77</v>
      </c>
      <c r="AT1" s="74" t="s">
        <v>78</v>
      </c>
      <c r="AU1" s="12" t="s">
        <v>79</v>
      </c>
      <c r="AV1" s="16" t="s">
        <v>80</v>
      </c>
      <c r="AW1" s="17" t="s">
        <v>35</v>
      </c>
      <c r="AX1" s="16" t="s">
        <v>36</v>
      </c>
      <c r="AY1" s="17" t="s">
        <v>37</v>
      </c>
      <c r="AZ1" s="16" t="s">
        <v>38</v>
      </c>
      <c r="BA1" s="17" t="s">
        <v>54</v>
      </c>
      <c r="BB1" s="16" t="s">
        <v>53</v>
      </c>
      <c r="BC1" s="38" t="s">
        <v>50</v>
      </c>
      <c r="BD1" s="17" t="s">
        <v>51</v>
      </c>
      <c r="BE1" s="16" t="s">
        <v>52</v>
      </c>
      <c r="BF1" s="16" t="s">
        <v>39</v>
      </c>
      <c r="BG1" s="40" t="s">
        <v>40</v>
      </c>
      <c r="BH1" s="19" t="s">
        <v>44</v>
      </c>
      <c r="BI1" s="66" t="s">
        <v>55</v>
      </c>
      <c r="BJ1" s="53" t="s">
        <v>57</v>
      </c>
      <c r="BK1" s="16" t="s">
        <v>58</v>
      </c>
      <c r="BL1" s="55" t="s">
        <v>59</v>
      </c>
      <c r="BM1" s="40" t="s">
        <v>60</v>
      </c>
      <c r="BN1" s="72" t="s">
        <v>61</v>
      </c>
      <c r="BO1" s="58" t="s">
        <v>56</v>
      </c>
      <c r="BP1" s="58" t="s">
        <v>75</v>
      </c>
      <c r="BQ1" s="57"/>
      <c r="BR1" s="60" t="s">
        <v>62</v>
      </c>
      <c r="BS1" s="61" t="s">
        <v>64</v>
      </c>
      <c r="BT1" s="60" t="s">
        <v>63</v>
      </c>
      <c r="BU1" s="61" t="s">
        <v>66</v>
      </c>
      <c r="BV1" s="62" t="s">
        <v>65</v>
      </c>
    </row>
    <row r="2" spans="1:74" s="32" customFormat="1" ht="45">
      <c r="A2" s="78">
        <v>1</v>
      </c>
      <c r="B2" s="21"/>
      <c r="C2" s="21"/>
      <c r="D2" s="21" t="s">
        <v>6</v>
      </c>
      <c r="E2" s="21"/>
      <c r="F2" s="21" t="s">
        <v>84</v>
      </c>
      <c r="G2" s="22" t="s">
        <v>82</v>
      </c>
      <c r="H2" s="21" t="s">
        <v>83</v>
      </c>
      <c r="I2" s="21" t="s">
        <v>81</v>
      </c>
      <c r="J2" s="20" t="s">
        <v>93</v>
      </c>
      <c r="K2" s="41" t="s">
        <v>85</v>
      </c>
      <c r="L2" s="21" t="s">
        <v>86</v>
      </c>
      <c r="M2" s="21" t="s">
        <v>88</v>
      </c>
      <c r="N2" s="42" t="s">
        <v>89</v>
      </c>
      <c r="O2" s="75" t="s">
        <v>101</v>
      </c>
      <c r="P2" s="21"/>
      <c r="Q2" s="21"/>
      <c r="R2" s="42"/>
      <c r="S2" s="21" t="s">
        <v>8</v>
      </c>
      <c r="T2" s="23">
        <v>250</v>
      </c>
      <c r="U2" s="37"/>
      <c r="V2" s="64">
        <f>IF(W2="","",X2*W2)</f>
        <v>225.42</v>
      </c>
      <c r="W2" s="51">
        <v>7.8</v>
      </c>
      <c r="X2" s="76">
        <v>28.9</v>
      </c>
      <c r="Y2" s="21" t="s">
        <v>5</v>
      </c>
      <c r="Z2" s="43">
        <v>52</v>
      </c>
      <c r="AA2" s="43">
        <v>58</v>
      </c>
      <c r="AB2" s="43">
        <v>33</v>
      </c>
      <c r="AC2" s="71"/>
      <c r="AD2" s="23">
        <v>1</v>
      </c>
      <c r="AE2" s="45">
        <f t="shared" ref="AE2:AE4" si="0">IF(Z2="","",Z2*AA2*AB2/1000000)</f>
        <v>0.1</v>
      </c>
      <c r="AF2" s="67" t="s">
        <v>1</v>
      </c>
      <c r="AG2" s="43"/>
      <c r="AH2" s="43"/>
      <c r="AI2" s="43"/>
      <c r="AJ2" s="24"/>
      <c r="AK2" s="24">
        <v>65</v>
      </c>
      <c r="AL2" s="25">
        <f t="shared" ref="AL2:AL4" si="1">IF(AD2="","",AK2/AE2*AD2)</f>
        <v>650</v>
      </c>
      <c r="AM2" s="26">
        <v>4000</v>
      </c>
      <c r="AN2" s="27">
        <f>IF(ISERROR(AM2/AL2),"",AM2/AL2)</f>
        <v>6.15</v>
      </c>
      <c r="AO2" s="21" t="s">
        <v>91</v>
      </c>
      <c r="AP2" s="28">
        <f>12.8%+10%</f>
        <v>0.22800000000000001</v>
      </c>
      <c r="AQ2" s="27">
        <f t="shared" ref="AQ2:AQ4" si="2">IF(ISERROR(X2*AP2),"",X2*AP2)</f>
        <v>6.59</v>
      </c>
      <c r="AR2" s="27">
        <f t="shared" ref="AR2:AR4" si="3">IF(ISERROR(X2+AN2+AQ2),"",X2+AN2+AQ2)</f>
        <v>41.64</v>
      </c>
      <c r="AS2" s="64">
        <f>IF(ISERROR(Z2*AA2*AB2/AD2),"",Z2*AA2*AB2/AD2)</f>
        <v>99528</v>
      </c>
      <c r="AT2" s="64">
        <f>IF(ISERROR(AS2/28316.847),"",AS2/28316.847)</f>
        <v>3.51</v>
      </c>
      <c r="AU2" s="24">
        <v>4</v>
      </c>
      <c r="AV2" s="27">
        <f>IF(ISERROR(AT2*AU2),"",AT2*AU2)</f>
        <v>14.04</v>
      </c>
      <c r="AW2" s="29">
        <v>0.1</v>
      </c>
      <c r="AX2" s="27">
        <f t="shared" ref="AX2:AX4" si="4">IF(ISERROR(BI2*AW2),"",BI2*AW2)</f>
        <v>10.5</v>
      </c>
      <c r="AY2" s="29">
        <v>0</v>
      </c>
      <c r="AZ2" s="27">
        <f>IF(ISERROR(BI2*AY2),"",BI2*AY2)</f>
        <v>0</v>
      </c>
      <c r="BA2" s="29">
        <v>0</v>
      </c>
      <c r="BB2" s="27">
        <f>IF(ISERROR(BI2*BA2),"",BI2*BA2)</f>
        <v>0</v>
      </c>
      <c r="BC2" s="31" t="s">
        <v>76</v>
      </c>
      <c r="BD2" s="29">
        <v>0.15</v>
      </c>
      <c r="BE2" s="27">
        <f>IF(ISERROR(BI2*BD2),"",BI2*BD2)</f>
        <v>15.75</v>
      </c>
      <c r="BF2" s="27">
        <f>IF(ISERROR(AV2+AX2+AZ2+BB2+BE2),"",AV2+AX2+AZ2+BB2+BE2)</f>
        <v>40.29</v>
      </c>
      <c r="BG2" s="27">
        <f t="shared" ref="BG2:BG3" si="5">IF(ISERROR(AR2+BF2),"",AR2+BF2)</f>
        <v>81.93</v>
      </c>
      <c r="BH2" s="30">
        <f t="shared" ref="BH2:BH3" si="6">IF(ISERROR((BI2-BG2)/BI2),"",(BI2-BG2)/BI2)</f>
        <v>0.21970000000000001</v>
      </c>
      <c r="BI2" s="27">
        <f>IF(BO2="","",BO2*(1-BP2))</f>
        <v>105</v>
      </c>
      <c r="BJ2" s="54">
        <v>0.3</v>
      </c>
      <c r="BK2" s="27">
        <f>IF(BJ2="","",BO2*BJ2)</f>
        <v>63</v>
      </c>
      <c r="BL2" s="48">
        <v>15</v>
      </c>
      <c r="BM2" s="27">
        <f>IF(ISERROR(BG2+BK2+BL2),"",BG2+BK2+BL2)</f>
        <v>159.93</v>
      </c>
      <c r="BN2" s="73">
        <f>IF(BO2="","",(BO2-BM2)/BO2)</f>
        <v>0.2384</v>
      </c>
      <c r="BO2" s="77">
        <v>209.99</v>
      </c>
      <c r="BP2" s="54">
        <v>0.5</v>
      </c>
      <c r="BQ2" s="3"/>
      <c r="BR2" s="52">
        <f>BI2</f>
        <v>105</v>
      </c>
      <c r="BS2" s="59">
        <f>IF(BT2="","",CEILING(BT2/0.9 - 0.01, 10) - 0.01)</f>
        <v>239.99</v>
      </c>
      <c r="BT2" s="52">
        <f>IF(BO2="","",BO2)</f>
        <v>209.99</v>
      </c>
      <c r="BU2" s="56">
        <f t="shared" ref="BU2:BU4" si="7">IF(BR2="","",(BR2-AR2)/BR2)</f>
        <v>0.60340000000000005</v>
      </c>
      <c r="BV2" s="56">
        <f>IF(BS2="","",(BS2-BR2)/BS2)</f>
        <v>0.5625</v>
      </c>
    </row>
    <row r="3" spans="1:74" s="32" customFormat="1" ht="45">
      <c r="A3" s="78">
        <v>2</v>
      </c>
      <c r="B3" s="21"/>
      <c r="C3" s="21"/>
      <c r="D3" s="21" t="s">
        <v>6</v>
      </c>
      <c r="E3" s="21"/>
      <c r="F3" s="21" t="s">
        <v>84</v>
      </c>
      <c r="G3" s="22" t="s">
        <v>82</v>
      </c>
      <c r="H3" s="21" t="s">
        <v>83</v>
      </c>
      <c r="I3" s="21" t="s">
        <v>81</v>
      </c>
      <c r="J3" s="20" t="s">
        <v>92</v>
      </c>
      <c r="K3" s="41" t="s">
        <v>85</v>
      </c>
      <c r="L3" s="21" t="s">
        <v>94</v>
      </c>
      <c r="M3" s="21" t="s">
        <v>88</v>
      </c>
      <c r="N3" s="42" t="s">
        <v>89</v>
      </c>
      <c r="O3" s="75" t="s">
        <v>102</v>
      </c>
      <c r="P3" s="21"/>
      <c r="Q3" s="21"/>
      <c r="R3" s="42"/>
      <c r="S3" s="21" t="s">
        <v>8</v>
      </c>
      <c r="T3" s="23">
        <v>250</v>
      </c>
      <c r="U3" s="37"/>
      <c r="V3" s="64">
        <f t="shared" ref="V3:V4" si="8">IF(W3="","",X3*W3)</f>
        <v>248.43</v>
      </c>
      <c r="W3" s="51">
        <v>7.8</v>
      </c>
      <c r="X3" s="76">
        <v>31.85</v>
      </c>
      <c r="Y3" s="21" t="s">
        <v>5</v>
      </c>
      <c r="Z3" s="43">
        <v>52</v>
      </c>
      <c r="AA3" s="43">
        <v>58</v>
      </c>
      <c r="AB3" s="43">
        <v>35</v>
      </c>
      <c r="AC3" s="71"/>
      <c r="AD3" s="23">
        <v>1</v>
      </c>
      <c r="AE3" s="45">
        <f t="shared" si="0"/>
        <v>0.106</v>
      </c>
      <c r="AF3" s="67" t="s">
        <v>1</v>
      </c>
      <c r="AG3" s="43"/>
      <c r="AH3" s="43"/>
      <c r="AI3" s="43"/>
      <c r="AJ3" s="24"/>
      <c r="AK3" s="24">
        <v>65</v>
      </c>
      <c r="AL3" s="25">
        <f t="shared" si="1"/>
        <v>613</v>
      </c>
      <c r="AM3" s="26">
        <v>4000</v>
      </c>
      <c r="AN3" s="27">
        <f t="shared" ref="AN3:AN4" si="9">IF(ISERROR(AM3/AL3),"",AM3/AL3)</f>
        <v>6.53</v>
      </c>
      <c r="AO3" s="21" t="s">
        <v>90</v>
      </c>
      <c r="AP3" s="28">
        <v>0.22800000000000001</v>
      </c>
      <c r="AQ3" s="27">
        <f t="shared" si="2"/>
        <v>7.26</v>
      </c>
      <c r="AR3" s="27">
        <f t="shared" si="3"/>
        <v>45.64</v>
      </c>
      <c r="AS3" s="64">
        <f t="shared" ref="AS3:AS4" si="10">IF(ISERROR(Z3*AA3*AB3/AD3),"",Z3*AA3*AB3/AD3)</f>
        <v>105560</v>
      </c>
      <c r="AT3" s="64">
        <f t="shared" ref="AT3:AT4" si="11">IF(ISERROR(AS3/28316.847),"",AS3/28316.847)</f>
        <v>3.73</v>
      </c>
      <c r="AU3" s="24">
        <v>4</v>
      </c>
      <c r="AV3" s="27">
        <f t="shared" ref="AV3:AV4" si="12">IF(ISERROR(AT3*AU3),"",AT3*AU3)</f>
        <v>14.92</v>
      </c>
      <c r="AW3" s="29">
        <v>0.1</v>
      </c>
      <c r="AX3" s="27">
        <f t="shared" si="4"/>
        <v>11.5</v>
      </c>
      <c r="AY3" s="29">
        <v>0</v>
      </c>
      <c r="AZ3" s="27">
        <f t="shared" ref="AZ3" si="13">IF(ISERROR(BI3*AY3),"",BI3*AY3)</f>
        <v>0</v>
      </c>
      <c r="BA3" s="29">
        <v>0</v>
      </c>
      <c r="BB3" s="27">
        <f t="shared" ref="BB3" si="14">IF(ISERROR(BI3*BA3),"",BI3*BA3)</f>
        <v>0</v>
      </c>
      <c r="BC3" s="31" t="s">
        <v>76</v>
      </c>
      <c r="BD3" s="29">
        <v>0.15</v>
      </c>
      <c r="BE3" s="27">
        <f t="shared" ref="BE3" si="15">IF(ISERROR(BI3*BD3),"",BI3*BD3)</f>
        <v>17.25</v>
      </c>
      <c r="BF3" s="27">
        <f>IF(ISERROR(AV3+AX3+AZ3+BB3+BE3),"",AV3+AX3+AZ3+BB3+BE3)</f>
        <v>43.67</v>
      </c>
      <c r="BG3" s="27">
        <f t="shared" si="5"/>
        <v>89.31</v>
      </c>
      <c r="BH3" s="30">
        <f t="shared" si="6"/>
        <v>0.22339999999999999</v>
      </c>
      <c r="BI3" s="27">
        <f t="shared" ref="BI3:BI4" si="16">IF(BO3="","",BO3*(1-BP3))</f>
        <v>115</v>
      </c>
      <c r="BJ3" s="54">
        <v>0.3</v>
      </c>
      <c r="BK3" s="27">
        <f t="shared" ref="BK3:BK4" si="17">IF(BJ3="","",BO3*BJ3)</f>
        <v>69</v>
      </c>
      <c r="BL3" s="48">
        <v>15</v>
      </c>
      <c r="BM3" s="27">
        <f t="shared" ref="BM3:BM4" si="18">IF(ISERROR(BG3+BK3+BL3),"",BG3+BK3+BL3)</f>
        <v>173.31</v>
      </c>
      <c r="BN3" s="73">
        <f t="shared" ref="BN3:BN4" si="19">IF(BO3="","",(BO3-BM3)/BO3)</f>
        <v>0.24640000000000001</v>
      </c>
      <c r="BO3" s="77">
        <v>229.99</v>
      </c>
      <c r="BP3" s="54">
        <v>0.5</v>
      </c>
      <c r="BQ3" s="3"/>
      <c r="BR3" s="52">
        <f t="shared" ref="BR3:BR4" si="20">BI3</f>
        <v>115</v>
      </c>
      <c r="BS3" s="59">
        <f t="shared" ref="BS3:BS4" si="21">IF(BT3="","",CEILING(BT3/0.9 - 0.01, 10) - 0.01)</f>
        <v>259.99</v>
      </c>
      <c r="BT3" s="52">
        <f t="shared" ref="BT3:BT4" si="22">IF(BO3="","",BO3)</f>
        <v>229.99</v>
      </c>
      <c r="BU3" s="56">
        <f t="shared" si="7"/>
        <v>0.60309999999999997</v>
      </c>
      <c r="BV3" s="56">
        <f t="shared" ref="BV3:BV4" si="23">IF(BS3="","",(BS3-BR3)/BS3)</f>
        <v>0.55769999999999997</v>
      </c>
    </row>
    <row r="4" spans="1:74" s="32" customFormat="1" ht="45">
      <c r="A4" s="78">
        <v>3</v>
      </c>
      <c r="B4" s="21"/>
      <c r="C4" s="21"/>
      <c r="D4" s="21" t="s">
        <v>6</v>
      </c>
      <c r="E4" s="21"/>
      <c r="F4" s="21" t="s">
        <v>47</v>
      </c>
      <c r="G4" s="22" t="s">
        <v>82</v>
      </c>
      <c r="H4" s="21" t="s">
        <v>95</v>
      </c>
      <c r="I4" s="21" t="s">
        <v>96</v>
      </c>
      <c r="J4" s="20" t="s">
        <v>97</v>
      </c>
      <c r="K4" s="41" t="s">
        <v>85</v>
      </c>
      <c r="L4" s="21" t="s">
        <v>98</v>
      </c>
      <c r="M4" s="21" t="s">
        <v>87</v>
      </c>
      <c r="N4" s="42" t="s">
        <v>99</v>
      </c>
      <c r="O4" s="75" t="s">
        <v>103</v>
      </c>
      <c r="P4" s="21"/>
      <c r="Q4" s="21"/>
      <c r="R4" s="42"/>
      <c r="S4" s="21" t="s">
        <v>7</v>
      </c>
      <c r="T4" s="23">
        <v>300</v>
      </c>
      <c r="U4" s="37"/>
      <c r="V4" s="64">
        <f t="shared" si="8"/>
        <v>74.099999999999994</v>
      </c>
      <c r="W4" s="51">
        <v>7.8</v>
      </c>
      <c r="X4" s="76">
        <v>9.5</v>
      </c>
      <c r="Y4" s="21" t="s">
        <v>5</v>
      </c>
      <c r="Z4" s="43">
        <v>55</v>
      </c>
      <c r="AA4" s="43">
        <v>33</v>
      </c>
      <c r="AB4" s="43">
        <v>27</v>
      </c>
      <c r="AC4" s="71"/>
      <c r="AD4" s="23">
        <v>12</v>
      </c>
      <c r="AE4" s="45">
        <f t="shared" si="0"/>
        <v>4.9000000000000002E-2</v>
      </c>
      <c r="AF4" s="67" t="s">
        <v>0</v>
      </c>
      <c r="AG4" s="43">
        <v>11.5</v>
      </c>
      <c r="AH4" s="43">
        <v>9.5</v>
      </c>
      <c r="AI4" s="43">
        <v>2.2000000000000002</v>
      </c>
      <c r="AJ4" s="24"/>
      <c r="AK4" s="24">
        <v>65</v>
      </c>
      <c r="AL4" s="25">
        <f t="shared" si="1"/>
        <v>15918</v>
      </c>
      <c r="AM4" s="26">
        <v>4000</v>
      </c>
      <c r="AN4" s="27">
        <f t="shared" si="9"/>
        <v>0.25</v>
      </c>
      <c r="AO4" s="21" t="s">
        <v>100</v>
      </c>
      <c r="AP4" s="28">
        <v>0.27800000000000002</v>
      </c>
      <c r="AQ4" s="27">
        <f t="shared" si="2"/>
        <v>2.64</v>
      </c>
      <c r="AR4" s="27">
        <f t="shared" si="3"/>
        <v>12.39</v>
      </c>
      <c r="AS4" s="64">
        <f t="shared" si="10"/>
        <v>4083.75</v>
      </c>
      <c r="AT4" s="64">
        <f t="shared" si="11"/>
        <v>0.14000000000000001</v>
      </c>
      <c r="AU4" s="24">
        <v>4</v>
      </c>
      <c r="AV4" s="27">
        <f t="shared" si="12"/>
        <v>0.56000000000000005</v>
      </c>
      <c r="AW4" s="29">
        <v>0.1</v>
      </c>
      <c r="AX4" s="27">
        <f t="shared" si="4"/>
        <v>2.5</v>
      </c>
      <c r="AY4" s="29">
        <v>0</v>
      </c>
      <c r="AZ4" s="27">
        <v>0</v>
      </c>
      <c r="BA4" s="29">
        <v>0</v>
      </c>
      <c r="BB4" s="27">
        <v>0</v>
      </c>
      <c r="BC4" s="31" t="s">
        <v>76</v>
      </c>
      <c r="BD4" s="29">
        <v>0.15</v>
      </c>
      <c r="BE4" s="27">
        <f t="shared" ref="BE4" si="24">IF(ISERROR(BI4*BD4),"",BI4*BD4)</f>
        <v>3.75</v>
      </c>
      <c r="BF4" s="27">
        <f>IF(ISERROR(AV4+AX4+AZ4+BB4+BE4),"",AV4+AX4+AZ4+BB4+BE4)</f>
        <v>6.81</v>
      </c>
      <c r="BG4" s="27">
        <f t="shared" ref="BG4" si="25">IF(ISERROR(AR4+BF4),"",AR4+BF4)</f>
        <v>19.2</v>
      </c>
      <c r="BH4" s="30">
        <f t="shared" ref="BH4" si="26">IF(ISERROR((BI4-BG4)/BI4),"",(BI4-BG4)/BI4)</f>
        <v>0.23200000000000001</v>
      </c>
      <c r="BI4" s="27">
        <f t="shared" si="16"/>
        <v>25</v>
      </c>
      <c r="BJ4" s="54">
        <v>0.15</v>
      </c>
      <c r="BK4" s="27">
        <f t="shared" si="17"/>
        <v>7.5</v>
      </c>
      <c r="BL4" s="48">
        <v>8</v>
      </c>
      <c r="BM4" s="27">
        <f t="shared" si="18"/>
        <v>34.700000000000003</v>
      </c>
      <c r="BN4" s="73">
        <f t="shared" si="19"/>
        <v>0.30590000000000001</v>
      </c>
      <c r="BO4" s="77">
        <v>49.99</v>
      </c>
      <c r="BP4" s="54">
        <v>0.5</v>
      </c>
      <c r="BQ4" s="3"/>
      <c r="BR4" s="52">
        <f t="shared" si="20"/>
        <v>25</v>
      </c>
      <c r="BS4" s="59">
        <f t="shared" si="21"/>
        <v>59.99</v>
      </c>
      <c r="BT4" s="52">
        <f t="shared" si="22"/>
        <v>49.99</v>
      </c>
      <c r="BU4" s="56">
        <f t="shared" si="7"/>
        <v>0.50439999999999996</v>
      </c>
      <c r="BV4" s="56">
        <f t="shared" si="23"/>
        <v>0.58330000000000004</v>
      </c>
    </row>
  </sheetData>
  <sheetProtection insertRows="0" deleteRows="0" sort="0"/>
  <protectedRanges>
    <protectedRange sqref="L2:S4 A5:B87 D5:E87 C5:C86 F5:S86 A2:J4 AK2:AL4 BN2:BN4 V2:Y4 AE2:AF4 AQ2:BL4 U5:BF86 AN2:AN4" name="Range1"/>
    <protectedRange sqref="Z2:AC4 AG2:AJ4" name="Range1_2"/>
    <protectedRange sqref="AM2:AM4" name="Range1_3"/>
    <protectedRange sqref="AO2:AP4" name="Range1_4"/>
    <protectedRange sqref="T2:T4" name="Range1_6"/>
    <protectedRange sqref="K2:K4" name="Range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D2:D4</xm:sqref>
        </x14:dataValidation>
        <x14:dataValidation type="list" allowBlank="1" showInputMessage="1" showErrorMessage="1">
          <x14:formula1>
            <xm:f>#REF!</xm:f>
          </x14:formula1>
          <xm:sqref>E2:E4</xm:sqref>
        </x14:dataValidation>
        <x14:dataValidation type="list" allowBlank="1" showInputMessage="1" showErrorMessage="1">
          <x14:formula1>
            <xm:f>#REF!</xm:f>
          </x14:formula1>
          <xm:sqref>S2:S4</xm:sqref>
        </x14:dataValidation>
        <x14:dataValidation type="list" allowBlank="1" showInputMessage="1" showErrorMessage="1">
          <x14:formula1>
            <xm:f>#REF!</xm:f>
          </x14:formula1>
          <xm:sqref>Y2:Y4</xm:sqref>
        </x14:dataValidation>
        <x14:dataValidation type="list" allowBlank="1" showInputMessage="1" showErrorMessage="1">
          <x14:formula1>
            <xm:f>#REF!</xm:f>
          </x14:formula1>
          <xm:sqref>F2:F4</xm:sqref>
        </x14:dataValidation>
        <x14:dataValidation type="list" allowBlank="1" showInputMessage="1" showErrorMessage="1">
          <x14:formula1>
            <xm:f>#REF!</xm:f>
          </x14:formula1>
          <xm:sqref>AF2:AF4 R2:R4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2026-03-06T05:22:09Z</dcterms:modified>
</cp:coreProperties>
</file>