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 activeTab="1"/>
  </bookViews>
  <sheets>
    <sheet name="Commitment" sheetId="2" r:id="rId1"/>
    <sheet name="Item" sheetId="5" r:id="rId2"/>
    <sheet name="ValueSelect" sheetId="4" r:id="rId3"/>
    <sheet name="Formulas" sheetId="6" r:id="rId4"/>
    <sheet name="Summary" sheetId="7" r:id="rId5"/>
    <sheet name="History Email" sheetId="8" r:id="rId6"/>
    <sheet name="Quote Sheet " sheetId="10" r:id="rId7"/>
  </sheets>
  <externalReferences>
    <externalReference r:id="rId8"/>
    <externalReference r:id="rId9"/>
    <externalReference r:id="rId10"/>
  </externalReferences>
  <definedNames>
    <definedName name="_xlnm._FilterDatabase" localSheetId="2" hidden="1">ValueSelect!$A$1:$U$296</definedName>
    <definedName name="_MailOriginal" localSheetId="5">'History Email'!#REF!</definedName>
    <definedName name="CATEGORY">[1]Sheet1!$DW$2:$DW$3</definedName>
    <definedName name="colour">[1]Sheet1!$EH$2:$EH$3</definedName>
    <definedName name="dim_weight_divisor">[2]Calculator!$D$16</definedName>
    <definedName name="foam">[1]Sheet1!$EC$2:$EC$3</definedName>
    <definedName name="item_height">[2]Calculator!$C$7</definedName>
    <definedName name="item_length">[2]Calculator!$C$5</definedName>
    <definedName name="item_width">[2]Calculator!$C$6</definedName>
    <definedName name="KD">[1]Sheet1!$DS$2:$DS$2</definedName>
    <definedName name="M">[1]Sheet1!$EA$2:$EA$3</definedName>
    <definedName name="outbound_weight">[2]Calculator!$D$20</definedName>
    <definedName name="PACK">[1]Sheet1!$EE$2:$EE$3</definedName>
    <definedName name="PORT_IFF">#N/A</definedName>
    <definedName name="sale_price">[2]Calculator!$C$4</definedName>
    <definedName name="UNIT">[1]Sheet1!$EF$2:$EF$3</definedName>
    <definedName name="vlook">#REF!</definedName>
    <definedName name="wood">[1]Sheet1!$EG$2:$EG$3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" i="5" l="1"/>
  <c r="J7" i="10"/>
  <c r="I7" i="10"/>
  <c r="H7" i="10"/>
  <c r="F7" i="10"/>
  <c r="E7" i="10"/>
  <c r="J6" i="10"/>
  <c r="I6" i="10"/>
  <c r="H6" i="10"/>
  <c r="F6" i="10"/>
  <c r="E6" i="10"/>
  <c r="J5" i="10"/>
  <c r="I5" i="10"/>
  <c r="H5" i="10"/>
  <c r="F5" i="10"/>
  <c r="E5" i="10"/>
  <c r="J4" i="10"/>
  <c r="I4" i="10"/>
  <c r="H4" i="10"/>
  <c r="F4" i="10"/>
  <c r="E4" i="10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Q20" i="7"/>
  <c r="P20" i="7"/>
  <c r="P18" i="7"/>
  <c r="Q17" i="7"/>
  <c r="P17" i="7"/>
  <c r="O17" i="7"/>
  <c r="J17" i="7"/>
  <c r="I17" i="7"/>
  <c r="Q16" i="7"/>
  <c r="P16" i="7"/>
  <c r="O16" i="7"/>
  <c r="J16" i="7"/>
  <c r="I16" i="7"/>
  <c r="Q15" i="7"/>
  <c r="P15" i="7"/>
  <c r="O15" i="7"/>
  <c r="K15" i="7"/>
  <c r="J15" i="7"/>
  <c r="I15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J9" i="7"/>
  <c r="I9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K8" i="7"/>
  <c r="J8" i="7"/>
  <c r="I8" i="7"/>
  <c r="AB7" i="7"/>
  <c r="AA7" i="7"/>
  <c r="Z7" i="7"/>
  <c r="Y7" i="7"/>
  <c r="X7" i="7"/>
  <c r="W7" i="7"/>
  <c r="V7" i="7"/>
  <c r="U7" i="7"/>
  <c r="T7" i="7"/>
  <c r="S7" i="7"/>
  <c r="R7" i="7"/>
  <c r="Q7" i="7"/>
  <c r="P7" i="7"/>
  <c r="O7" i="7"/>
  <c r="K7" i="7"/>
  <c r="J7" i="7"/>
  <c r="I7" i="7"/>
  <c r="AB6" i="7"/>
  <c r="AA6" i="7"/>
  <c r="Z6" i="7"/>
  <c r="Y6" i="7"/>
  <c r="X6" i="7"/>
  <c r="W6" i="7"/>
  <c r="V6" i="7"/>
  <c r="U6" i="7"/>
  <c r="T6" i="7"/>
  <c r="S6" i="7"/>
  <c r="R6" i="7"/>
  <c r="Q6" i="7"/>
  <c r="P6" i="7"/>
  <c r="AB5" i="7"/>
  <c r="AB3" i="7"/>
  <c r="AA3" i="7"/>
  <c r="Z3" i="7"/>
  <c r="Y3" i="7"/>
  <c r="X3" i="7"/>
  <c r="W3" i="7"/>
  <c r="V3" i="7"/>
  <c r="U3" i="7"/>
  <c r="T3" i="7"/>
  <c r="S3" i="7"/>
  <c r="R3" i="7"/>
  <c r="Q3" i="7"/>
  <c r="P3" i="7"/>
  <c r="O3" i="7"/>
  <c r="AB1" i="7"/>
  <c r="AA1" i="7"/>
  <c r="Z1" i="7"/>
  <c r="Y1" i="7"/>
  <c r="X1" i="7"/>
  <c r="W1" i="7"/>
  <c r="V1" i="7"/>
  <c r="U1" i="7"/>
  <c r="T1" i="7"/>
  <c r="S1" i="7"/>
  <c r="R1" i="7"/>
  <c r="Q1" i="7"/>
  <c r="P1" i="7"/>
  <c r="O1" i="7"/>
  <c r="B16" i="6"/>
  <c r="B14" i="6"/>
  <c r="B5" i="6"/>
  <c r="B3" i="6"/>
  <c r="BO3" i="5"/>
  <c r="BK3" i="5"/>
  <c r="BE3" i="5"/>
  <c r="AW3" i="5"/>
  <c r="AQ3" i="5"/>
  <c r="AT3" i="5" s="1"/>
  <c r="AP3" i="5"/>
  <c r="AO3" i="5"/>
  <c r="AE3" i="5"/>
  <c r="AG3" i="5" s="1"/>
  <c r="AC3" i="5"/>
  <c r="BO2" i="5"/>
  <c r="BK2" i="5"/>
  <c r="BE2" i="5"/>
  <c r="BB2" i="5"/>
  <c r="AT2" i="5"/>
  <c r="AU2" i="5" s="1"/>
  <c r="BI2" i="5" s="1"/>
  <c r="AQ2" i="5"/>
  <c r="AP2" i="5"/>
  <c r="AO2" i="5"/>
  <c r="AC2" i="5"/>
  <c r="AE2" i="5" s="1"/>
  <c r="AG2" i="5" s="1"/>
  <c r="T2" i="5"/>
  <c r="D3" i="2"/>
  <c r="AU3" i="5" l="1"/>
  <c r="BI3" i="5" s="1"/>
  <c r="AW2" i="5"/>
  <c r="BC2" i="5" s="1"/>
  <c r="BM2" i="5"/>
  <c r="AJ3" i="5"/>
  <c r="AK3" i="5" s="1"/>
  <c r="AY3" i="5"/>
  <c r="BF3" i="5"/>
  <c r="BM3" i="5"/>
  <c r="AJ2" i="5"/>
  <c r="AK2" i="5" s="1"/>
  <c r="BR2" i="5" s="1"/>
  <c r="AY2" i="5"/>
  <c r="BF2" i="5"/>
  <c r="BB3" i="5"/>
  <c r="BC3" i="5" l="1"/>
  <c r="BR3" i="5"/>
  <c r="BP2" i="5"/>
  <c r="BQ2" i="5" s="1"/>
  <c r="BT2" i="5"/>
  <c r="BS2" i="5" s="1"/>
  <c r="BG3" i="5"/>
  <c r="BP3" i="5" s="1"/>
  <c r="BW2" i="5"/>
  <c r="BX2" i="5"/>
  <c r="BT3" i="5" l="1"/>
  <c r="BS3" i="5" s="1"/>
  <c r="BQ3" i="5"/>
  <c r="BX3" i="5" l="1"/>
  <c r="BW3" i="5"/>
</calcChain>
</file>

<file path=xl/comments1.xml><?xml version="1.0" encoding="utf-8"?>
<comments xmlns="http://schemas.openxmlformats.org/spreadsheetml/2006/main">
  <authors>
    <author>Heather Zhu</author>
  </authors>
  <commentList>
    <comment ref="C3" authorId="0" shapeId="0">
      <text>
        <r>
          <rPr>
            <b/>
            <sz val="9"/>
            <rFont val="Tahoma"/>
            <family val="2"/>
          </rPr>
          <t>Heather Zhu:</t>
        </r>
        <r>
          <rPr>
            <sz val="9"/>
            <rFont val="Tahoma"/>
            <family val="2"/>
          </rPr>
          <t xml:space="preserve">
auto filled by the system: Master Customer + Brand + Year/Season + Pattern/Feature + Product Category</t>
        </r>
      </text>
    </comment>
    <comment ref="C4" authorId="0" shapeId="0">
      <text>
        <r>
          <rPr>
            <b/>
            <sz val="9"/>
            <rFont val="Tahoma"/>
            <family val="2"/>
          </rPr>
          <t>Heather Zhu:</t>
        </r>
        <r>
          <rPr>
            <sz val="9"/>
            <rFont val="Tahoma"/>
            <family val="2"/>
          </rPr>
          <t xml:space="preserve">
free text, not mandatory: Tier 1 pattern name only; multi patterns use "/"; can be the most recogonizable features or the customer program #, etc.</t>
        </r>
      </text>
    </comment>
    <comment ref="A6" authorId="0" shapeId="0">
      <text>
        <r>
          <rPr>
            <b/>
            <sz val="9"/>
            <rFont val="Tahoma"/>
            <family val="2"/>
          </rPr>
          <t>Heather Zhu:</t>
        </r>
        <r>
          <rPr>
            <sz val="9"/>
            <rFont val="Tahoma"/>
            <family val="2"/>
          </rPr>
          <t xml:space="preserve">
Select from ValueSelect</t>
        </r>
      </text>
    </comment>
  </commentList>
</comments>
</file>

<file path=xl/comments2.xml><?xml version="1.0" encoding="utf-8"?>
<comments xmlns="http://schemas.openxmlformats.org/spreadsheetml/2006/main">
  <authors>
    <author>heather.zhu@jlahome.com</author>
  </authors>
  <commentList>
    <comment ref="W1" authorId="0" shapeId="0">
      <text>
        <r>
          <rPr>
            <sz val="11"/>
            <rFont val="Calibri"/>
            <family val="2"/>
          </rPr>
          <t>[FOB Cost (Value)]/[Exchange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(Formula)]*[Duty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O1" authorId="0" shapeId="0">
      <text>
        <r>
          <rPr>
            <sz val="11"/>
            <rFont val="Calibri"/>
            <family val="2"/>
          </rPr>
          <t>2*([Product Size W]+[product Size H])</t>
        </r>
      </text>
    </comment>
    <comment ref="AP1" authorId="0" shapeId="0">
      <text>
        <r>
          <rPr>
            <sz val="11"/>
            <rFont val="Calibri"/>
            <family val="2"/>
          </rPr>
          <t>[Product Size L]*[Product Size W]*[Product Size H])/12/12/12</t>
        </r>
      </text>
    </comment>
    <comment ref="AQ1" authorId="0" shapeId="0">
      <text>
        <r>
          <rPr>
            <sz val="11"/>
            <rFont val="Calibri"/>
            <family val="2"/>
          </rPr>
          <t>[Product Size L]*[Product Size W]*[Product Size H])/139</t>
        </r>
      </text>
    </comment>
    <comment ref="AT1" authorId="0" shapeId="0">
      <text>
        <r>
          <rPr>
            <sz val="11"/>
            <rFont val="Calibri"/>
            <family val="2"/>
          </rPr>
          <t>MAX([Dimensional Weight]:[Product Weight]*(1+[Dimensional Weight Charge %]</t>
        </r>
      </text>
    </comment>
    <comment ref="AW1" authorId="0" shapeId="0">
      <text>
        <r>
          <rPr>
            <sz val="11"/>
            <rFont val="Calibri"/>
            <family val="2"/>
          </rPr>
          <t>[Average Retail Price]*[DA %]</t>
        </r>
      </text>
    </comment>
    <comment ref="AY1" authorId="0" shapeId="0">
      <text>
        <r>
          <rPr>
            <sz val="11"/>
            <rFont val="Calibri"/>
            <family val="2"/>
          </rPr>
          <t>[Average Retail Price]*[Warehouse Charge %]</t>
        </r>
      </text>
    </comment>
    <comment ref="BB1" authorId="0" shapeId="0">
      <text>
        <r>
          <rPr>
            <sz val="11"/>
            <rFont val="Calibri"/>
            <family val="2"/>
          </rPr>
          <t>[Average Retail Price]*[Marketing Outside AMZ %]</t>
        </r>
      </text>
    </comment>
    <comment ref="BC1" authorId="0" shapeId="0">
      <text>
        <r>
          <rPr>
            <sz val="11"/>
            <rFont val="Calibri"/>
            <family val="2"/>
          </rPr>
          <t>[DA $]+[Marketing $]+[Other Load$]+[Shipping $]</t>
        </r>
      </text>
    </comment>
    <comment ref="BF1" authorId="0" shapeId="0">
      <text>
        <r>
          <rPr>
            <sz val="11"/>
            <rFont val="Calibri"/>
            <family val="2"/>
          </rPr>
          <t>[Average Retail Price]*[Amazon Comm %]</t>
        </r>
      </text>
    </comment>
    <comment ref="BK1" authorId="0" shapeId="0">
      <text>
        <r>
          <rPr>
            <sz val="11"/>
            <rFont val="Calibri"/>
            <family val="2"/>
          </rPr>
          <t>[Average Retail Price]*[PPC Cost %]</t>
        </r>
      </text>
    </comment>
    <comment ref="BM1" authorId="0" shapeId="0">
      <text>
        <r>
          <rPr>
            <sz val="11"/>
            <rFont val="Calibri"/>
            <family val="2"/>
          </rPr>
          <t>[Average Retail Price]*[Promotion %]</t>
        </r>
      </text>
    </comment>
    <comment ref="BO1" authorId="0" shapeId="0">
      <text>
        <r>
          <rPr>
            <sz val="11"/>
            <rFont val="Calibri"/>
            <family val="2"/>
          </rPr>
          <t>[Average Retail Price]*[Other Charges %]</t>
        </r>
      </text>
    </comment>
    <comment ref="BP1" authorId="0" shapeId="0">
      <text>
        <r>
          <rPr>
            <sz val="11"/>
            <rFont val="Calibri"/>
            <family val="2"/>
          </rPr>
          <t>[AMZ Comm]+[AMZ Handling Freight]+[Storage]+[PPC Cost]+[Promotion]+[Other Charges]</t>
        </r>
      </text>
    </comment>
    <comment ref="BQ1" authorId="0" shapeId="0">
      <text>
        <r>
          <rPr>
            <sz val="11"/>
            <rFont val="Calibri"/>
            <family val="2"/>
          </rPr>
          <t>[Total JLA Load]+[Total Amazon Charges]</t>
        </r>
      </text>
    </comment>
    <comment ref="BR1" authorId="0" shapeId="0">
      <text>
        <r>
          <rPr>
            <sz val="11"/>
            <rFont val="Calibri"/>
            <family val="2"/>
          </rPr>
          <t>[LDP Cost]+[Warehouse Charge]</t>
        </r>
      </text>
    </comment>
    <comment ref="BS1" authorId="0" shapeId="0">
      <text>
        <r>
          <rPr>
            <sz val="11"/>
            <rFont val="Calibri"/>
            <family val="2"/>
          </rPr>
          <t>([Net Sales per Unit]-[Net Cost])/[Net Sales per Unit]</t>
        </r>
      </text>
    </comment>
    <comment ref="BT1" authorId="0" shapeId="0">
      <text>
        <r>
          <rPr>
            <sz val="11"/>
            <rFont val="Calibri"/>
            <family val="2"/>
          </rPr>
          <t>([Average Retail Price]-[DA $]]-[Freight to AMZ]-[Marketing outside AMZ]-[Total Amazon Charges]</t>
        </r>
      </text>
    </comment>
    <comment ref="BU1" authorId="0" shapeId="0">
      <text>
        <r>
          <rPr>
            <sz val="11"/>
            <rFont val="Calibri"/>
            <family val="2"/>
          </rPr>
          <t>([MSRP]*(1-[Promotion %])</t>
        </r>
      </text>
    </comment>
    <comment ref="BW1" authorId="0" shapeId="0">
      <text>
        <r>
          <rPr>
            <sz val="11"/>
            <rFont val="Calibri"/>
            <family val="2"/>
          </rPr>
          <t>[LDP Cost]+[Total Expenses and Charges]</t>
        </r>
      </text>
    </comment>
    <comment ref="BX1" authorId="0" shapeId="0">
      <text>
        <r>
          <rPr>
            <sz val="11"/>
            <rFont val="Calibri"/>
            <family val="2"/>
          </rPr>
          <t>[Total Loads and Charges]/[Average Retail Price]-6%</t>
        </r>
      </text>
    </comment>
  </commentList>
</comments>
</file>

<file path=xl/sharedStrings.xml><?xml version="1.0" encoding="utf-8"?>
<sst xmlns="http://schemas.openxmlformats.org/spreadsheetml/2006/main" count="845" uniqueCount="750">
  <si>
    <t>2025 SHET Domestic Commitment Sheet</t>
  </si>
  <si>
    <t xml:space="preserve"> </t>
  </si>
  <si>
    <t>Division</t>
  </si>
  <si>
    <t>MISC</t>
  </si>
  <si>
    <t>Program Name</t>
  </si>
  <si>
    <t>Order Type</t>
  </si>
  <si>
    <t>Rollout/Replenishment</t>
  </si>
  <si>
    <t>PDPM</t>
  </si>
  <si>
    <t>May Ruan</t>
  </si>
  <si>
    <t>Super Big  (&gt;$1,000,000)</t>
  </si>
  <si>
    <t>Big  ($500,000~$1,000,000)</t>
  </si>
  <si>
    <t>Medium  ($150,000~$500,000)</t>
  </si>
  <si>
    <t>Small  ($0~$150,000)</t>
  </si>
  <si>
    <t>Super Big  (&gt;$500,000)</t>
  </si>
  <si>
    <t>Big  ($250,000~$500,000)</t>
  </si>
  <si>
    <t>Medium  ($100,000~$250,000)</t>
  </si>
  <si>
    <t>Small  ($0~$100,000)</t>
  </si>
  <si>
    <t>Customer</t>
  </si>
  <si>
    <t>Amazon FBA</t>
  </si>
  <si>
    <t>Pattern/Features</t>
  </si>
  <si>
    <t>DOC Mini Floor Cushions for Classroom</t>
  </si>
  <si>
    <t>Order Process</t>
  </si>
  <si>
    <t>Domestic: Warehouse</t>
  </si>
  <si>
    <t>UCCPM</t>
  </si>
  <si>
    <t>Non-Replenishment</t>
  </si>
  <si>
    <t>FOB CA Price Quote</t>
  </si>
  <si>
    <t>FOB GA Price Quote</t>
  </si>
  <si>
    <t>FOB CA/GA Price Quote</t>
  </si>
  <si>
    <t>Master Customer</t>
  </si>
  <si>
    <t>Amazon</t>
  </si>
  <si>
    <t>Year</t>
  </si>
  <si>
    <t>Ship To Location 1</t>
  </si>
  <si>
    <t>Consolidator</t>
  </si>
  <si>
    <t>Responsible Party</t>
  </si>
  <si>
    <t>PM</t>
  </si>
  <si>
    <t>Brand</t>
  </si>
  <si>
    <t xml:space="preserve">Degrees of Comfort </t>
  </si>
  <si>
    <t>Season</t>
  </si>
  <si>
    <t>Ship To Location 2</t>
  </si>
  <si>
    <t>Factory Control</t>
  </si>
  <si>
    <t>No</t>
  </si>
  <si>
    <t>Direct Import</t>
  </si>
  <si>
    <t>Domestic: Port</t>
  </si>
  <si>
    <t>Drop-Ship</t>
  </si>
  <si>
    <t>Licensor</t>
  </si>
  <si>
    <t>Main Product Category</t>
  </si>
  <si>
    <t>CUSHION/POUF</t>
  </si>
  <si>
    <t>Country of Origin</t>
  </si>
  <si>
    <t>China</t>
  </si>
  <si>
    <t>Vendor Name</t>
  </si>
  <si>
    <t>Customer DC</t>
  </si>
  <si>
    <t>Pick Up At Port</t>
  </si>
  <si>
    <t>LVM</t>
  </si>
  <si>
    <t>LM2</t>
  </si>
  <si>
    <t>WOD</t>
  </si>
  <si>
    <t>SAV</t>
  </si>
  <si>
    <t>LM2/SAV</t>
  </si>
  <si>
    <t>Notes</t>
  </si>
  <si>
    <t>Est. Total Sales</t>
  </si>
  <si>
    <t>Overseas Production Team</t>
  </si>
  <si>
    <t>Evo Essence</t>
  </si>
  <si>
    <t>For Ecom</t>
  </si>
  <si>
    <t>Est. Total Cost</t>
  </si>
  <si>
    <t>Departure Port:</t>
  </si>
  <si>
    <t>Est. Program Size</t>
  </si>
  <si>
    <t>Port of Discharge:</t>
  </si>
  <si>
    <t>Program Commit Date</t>
  </si>
  <si>
    <t>01/28/2026</t>
  </si>
  <si>
    <t>Quote Sheet Template:</t>
  </si>
  <si>
    <t>2025 MISC AmazonFBA</t>
  </si>
  <si>
    <t>Customer Exclusive</t>
  </si>
  <si>
    <t>Yes</t>
  </si>
  <si>
    <r>
      <rPr>
        <sz val="11"/>
        <rFont val="Calibri"/>
        <family val="2"/>
      </rPr>
      <t>1.</t>
    </r>
    <r>
      <rPr>
        <b/>
        <sz val="11"/>
        <rFont val="Calibri"/>
        <family val="2"/>
      </rPr>
      <t xml:space="preserve"> Item</t>
    </r>
    <r>
      <rPr>
        <sz val="11"/>
        <rFont val="Calibri"/>
        <family val="2"/>
      </rPr>
      <t xml:space="preserve"> tab is the template which will be uploaded to EEC</t>
    </r>
  </si>
  <si>
    <t>2. please use English input for the characters such as punctuations and brackets: : "" ()</t>
  </si>
  <si>
    <t xml:space="preserve">3. no special charaters including [^?&amp;？|=]+ </t>
  </si>
  <si>
    <t>4. Description-Short: max 30 characters</t>
  </si>
  <si>
    <t>5. Carton info: leave the cells blank if no available info, do NOT put in "N/A"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</si>
  <si>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</si>
  <si>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</si>
  <si>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</si>
  <si>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</si>
  <si>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</si>
  <si>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</si>
  <si>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</si>
  <si>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</si>
  <si>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</si>
  <si>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</si>
  <si>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</si>
  <si>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</si>
  <si>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</si>
  <si>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</si>
  <si>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</si>
  <si>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</si>
  <si>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Total Quantity</t>
  </si>
  <si>
    <t>UCCPM Price</t>
  </si>
  <si>
    <t>FOB Cost (Value)</t>
  </si>
  <si>
    <t>Exchange Rate</t>
  </si>
  <si>
    <t>FOB Cost $ (Formula)</t>
  </si>
  <si>
    <t>Package Type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</si>
  <si>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</si>
  <si>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</si>
  <si>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</si>
  <si>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</si>
  <si>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</si>
  <si>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</si>
  <si>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</si>
  <si>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</si>
  <si>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</si>
  <si>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</si>
  <si>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</si>
  <si>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</si>
  <si>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</si>
  <si>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Product Size L (in)</t>
  </si>
  <si>
    <t>Product Size W (in)</t>
  </si>
  <si>
    <t>Product Size H (in)</t>
  </si>
  <si>
    <t>Girth</t>
  </si>
  <si>
    <t>Cubic Foot per Item</t>
  </si>
  <si>
    <t>Demensional Weight</t>
  </si>
  <si>
    <t>Product Weight (lb)</t>
  </si>
  <si>
    <t>Demensional Weight Charge %</t>
  </si>
  <si>
    <t>Demensional Weight Charge $</t>
  </si>
  <si>
    <t>Size Tier</t>
  </si>
  <si>
    <t>DA %</t>
  </si>
  <si>
    <t>DA $</t>
  </si>
  <si>
    <t>Warehouse Charge %</t>
  </si>
  <si>
    <t>Warehouse Charge $</t>
  </si>
  <si>
    <t>Freight to Amazon</t>
  </si>
  <si>
    <t>Marketing outside AMZ %</t>
  </si>
  <si>
    <t>Marketing outside AMZ $</t>
  </si>
  <si>
    <t>Total JLA Load $</t>
  </si>
  <si>
    <t>Category</t>
  </si>
  <si>
    <t>Amazon Commission %</t>
  </si>
  <si>
    <t>Amazon Commission $</t>
  </si>
  <si>
    <t>Amazon Handling Freight</t>
  </si>
  <si>
    <t>Storage (month) Unit Price</t>
  </si>
  <si>
    <t>Storage (month) $</t>
  </si>
  <si>
    <t>PPC Cost %</t>
  </si>
  <si>
    <t>PPC Cost $</t>
  </si>
  <si>
    <t>Promotion %</t>
  </si>
  <si>
    <t>Promotion $</t>
  </si>
  <si>
    <t>Other Charges %</t>
  </si>
  <si>
    <t>Other Charges $</t>
  </si>
  <si>
    <t>Total Amazon Charges $</t>
  </si>
  <si>
    <t>Total Expenses and charges of JLA and Amazon</t>
  </si>
  <si>
    <t>Net Cost</t>
  </si>
  <si>
    <t>Margin %</t>
  </si>
  <si>
    <t>Net Sales per Unit</t>
  </si>
  <si>
    <t>Average Retail Price</t>
  </si>
  <si>
    <t>MSRP</t>
  </si>
  <si>
    <t>Lowest Retail Price</t>
  </si>
  <si>
    <t>EEC Load %</t>
  </si>
  <si>
    <t>Mini Floor Cushions</t>
  </si>
  <si>
    <t>100% polyester</t>
  </si>
  <si>
    <r>
      <rPr>
        <sz val="11"/>
        <rFont val="Calibri"/>
        <family val="2"/>
      </rPr>
      <t>15*15*3.25"</t>
    </r>
    <r>
      <rPr>
        <sz val="11"/>
        <rFont val="宋体"/>
        <family val="3"/>
        <charset val="134"/>
      </rPr>
      <t>（</t>
    </r>
    <r>
      <rPr>
        <sz val="11"/>
        <rFont val="Calibri"/>
        <family val="2"/>
      </rPr>
      <t>6pcs</t>
    </r>
    <r>
      <rPr>
        <sz val="11"/>
        <rFont val="宋体"/>
        <family val="3"/>
        <charset val="134"/>
      </rPr>
      <t>）</t>
    </r>
  </si>
  <si>
    <t>Natural Wood</t>
  </si>
  <si>
    <t>Piece</t>
  </si>
  <si>
    <t>Compressed/Knocked Down</t>
  </si>
  <si>
    <t xml:space="preserve"> 9404.90.2030</t>
  </si>
  <si>
    <t>Default</t>
  </si>
  <si>
    <r>
      <rPr>
        <sz val="11"/>
        <rFont val="Calibri"/>
        <family val="2"/>
      </rPr>
      <t>15*15*3.25"</t>
    </r>
    <r>
      <rPr>
        <sz val="11"/>
        <rFont val="宋体"/>
        <family val="3"/>
        <charset val="134"/>
      </rPr>
      <t>（</t>
    </r>
    <r>
      <rPr>
        <sz val="11"/>
        <rFont val="Calibri"/>
        <family val="2"/>
      </rPr>
      <t>8pcs</t>
    </r>
    <r>
      <rPr>
        <sz val="11"/>
        <rFont val="宋体"/>
        <family val="3"/>
        <charset val="134"/>
      </rPr>
      <t>）</t>
    </r>
  </si>
  <si>
    <t>Main Category</t>
  </si>
  <si>
    <t>Program Size</t>
  </si>
  <si>
    <t>Ship to Location</t>
  </si>
  <si>
    <t>UOM</t>
  </si>
  <si>
    <t>Quote Sheet Template</t>
  </si>
  <si>
    <t>Other Load Suggestions</t>
  </si>
  <si>
    <t>Port of Discharge</t>
  </si>
  <si>
    <t>COMFORTER (SET)</t>
  </si>
  <si>
    <t>COMFORTER (SET)(10)</t>
  </si>
  <si>
    <t>HHL</t>
  </si>
  <si>
    <t>Each</t>
  </si>
  <si>
    <t>Commission</t>
  </si>
  <si>
    <t>Normal</t>
  </si>
  <si>
    <t>ATL</t>
  </si>
  <si>
    <t>510 Design</t>
  </si>
  <si>
    <t>Beautyrest 3.5%</t>
  </si>
  <si>
    <t>COVERLET&amp;BEDSPREAD</t>
  </si>
  <si>
    <t>COVERLET&amp;BEDSPREAD(13)</t>
  </si>
  <si>
    <t>Black Friday</t>
  </si>
  <si>
    <t>Domestic Purchase</t>
  </si>
  <si>
    <t>India</t>
  </si>
  <si>
    <t>Planner</t>
  </si>
  <si>
    <t>Brokage</t>
  </si>
  <si>
    <t>Rolled</t>
  </si>
  <si>
    <t>CGO</t>
  </si>
  <si>
    <t>Accentia</t>
  </si>
  <si>
    <t>Beautyrest 5.5%</t>
  </si>
  <si>
    <t>DUVET&amp;DUVET SET</t>
  </si>
  <si>
    <t>DUVET&amp;DUVET SET(12)</t>
  </si>
  <si>
    <t>BTC</t>
  </si>
  <si>
    <t>Domestic: Customer DC</t>
  </si>
  <si>
    <t>ZPP (POE Shipments)</t>
  </si>
  <si>
    <t>Pakistan</t>
  </si>
  <si>
    <t>Pair</t>
  </si>
  <si>
    <t>Agent Fee</t>
  </si>
  <si>
    <t>GBF</t>
  </si>
  <si>
    <t>Addison Park</t>
  </si>
  <si>
    <t>Beautyrest Black 6%</t>
  </si>
  <si>
    <t>QUILT</t>
  </si>
  <si>
    <t>QUILT(14)</t>
  </si>
  <si>
    <t>Fall</t>
  </si>
  <si>
    <t>SV2</t>
  </si>
  <si>
    <t>USA</t>
  </si>
  <si>
    <t>Set</t>
  </si>
  <si>
    <t>Reverse</t>
  </si>
  <si>
    <t>Improved Packaging</t>
  </si>
  <si>
    <t>LA</t>
  </si>
  <si>
    <t>Alpine Valley</t>
  </si>
  <si>
    <t>Joseph Sadony</t>
  </si>
  <si>
    <t>BED SKIRT&amp;SHAM</t>
  </si>
  <si>
    <t>BED SKIRT&amp;SHAM(11)</t>
  </si>
  <si>
    <t>Spring</t>
  </si>
  <si>
    <t>Intl.-Customer DC</t>
  </si>
  <si>
    <t>SV3</t>
  </si>
  <si>
    <t>Carton</t>
  </si>
  <si>
    <t>Royalty</t>
  </si>
  <si>
    <t>Partially Compressed</t>
  </si>
  <si>
    <t>NLR</t>
  </si>
  <si>
    <t>Amethyst Home</t>
  </si>
  <si>
    <t>Laura Ashley 3%</t>
  </si>
  <si>
    <t>NORMAL PILLOW</t>
  </si>
  <si>
    <t>NORMAL PILLOW(30)</t>
  </si>
  <si>
    <t>Winter</t>
  </si>
  <si>
    <t>Intl.-Direct Import</t>
  </si>
  <si>
    <t>OOD</t>
  </si>
  <si>
    <t>NY</t>
  </si>
  <si>
    <t>Antimicrobial Performance</t>
  </si>
  <si>
    <t>Laura Ashley 4%</t>
  </si>
  <si>
    <t>PILLOWSET</t>
  </si>
  <si>
    <t>PILLOWSET(32)</t>
  </si>
  <si>
    <t>Intl.-Domestic: Warehouse</t>
  </si>
  <si>
    <t>WOD/SV2</t>
  </si>
  <si>
    <t>Customer WH Allowance</t>
  </si>
  <si>
    <t>OKL</t>
  </si>
  <si>
    <t>Apothecary Home</t>
  </si>
  <si>
    <t>Laura Ashley 5%</t>
  </si>
  <si>
    <t>BODY PILLOWCASE</t>
  </si>
  <si>
    <t>BODY PILLOWCASE(22)</t>
  </si>
  <si>
    <t>Intl.-POE</t>
  </si>
  <si>
    <t>WOD/SV3</t>
  </si>
  <si>
    <t>NSA%</t>
  </si>
  <si>
    <t>ARCH / MANTLE</t>
  </si>
  <si>
    <t>Martha Stewart (Bath) 3%</t>
  </si>
  <si>
    <t>PILLOWCASE</t>
  </si>
  <si>
    <t>PILLOWCASE(21)</t>
  </si>
  <si>
    <t>POE</t>
  </si>
  <si>
    <t>Fuel Surcharge</t>
  </si>
  <si>
    <t>US</t>
  </si>
  <si>
    <t xml:space="preserve">Arch Studio  </t>
  </si>
  <si>
    <t>Martha Stewart (Bath) 4%</t>
  </si>
  <si>
    <t>BLANKET</t>
  </si>
  <si>
    <t>BLANKET(51)</t>
  </si>
  <si>
    <t>Photography</t>
  </si>
  <si>
    <t>Armoire Collection</t>
  </si>
  <si>
    <t>Martha Stewart (Bath) 5%</t>
  </si>
  <si>
    <t>THROW</t>
  </si>
  <si>
    <t>THROW(50)</t>
  </si>
  <si>
    <t>Freight Allowance</t>
  </si>
  <si>
    <t>Art In Motion</t>
  </si>
  <si>
    <t>Martha Stewart (Hard) 3%</t>
  </si>
  <si>
    <t>THROW WRAP</t>
  </si>
  <si>
    <t>THROW WRAP(58)</t>
  </si>
  <si>
    <t>Volume Rebate</t>
  </si>
  <si>
    <t>Artology</t>
  </si>
  <si>
    <t>Martha Stewart (Hard) 4%</t>
  </si>
  <si>
    <t>FILLED BLANKET</t>
  </si>
  <si>
    <t>FILLED BLANKET(57)</t>
  </si>
  <si>
    <t>Funding</t>
  </si>
  <si>
    <t>AT HOME</t>
  </si>
  <si>
    <t>Martha Stewart (Hard) 7%</t>
  </si>
  <si>
    <t>FILLED THROW</t>
  </si>
  <si>
    <t>FILLED THROW(56)</t>
  </si>
  <si>
    <t>August &amp; Leo</t>
  </si>
  <si>
    <t>N Natori 5%</t>
  </si>
  <si>
    <t>MATT PAD/TOPPER</t>
  </si>
  <si>
    <t>MATT PAD/TOPPER(16)</t>
  </si>
  <si>
    <t>Autumn Days</t>
  </si>
  <si>
    <t>N Natori Studio 5%</t>
  </si>
  <si>
    <t>SHEET/SHEET SET</t>
  </si>
  <si>
    <t>SHEET/SHEET SET(20)</t>
  </si>
  <si>
    <t>Backstage</t>
  </si>
  <si>
    <t>Natori 7%</t>
  </si>
  <si>
    <t>SHOWER CURTAIN</t>
  </si>
  <si>
    <t>SHOWER CURTAIN(70)</t>
  </si>
  <si>
    <t>Be Mine</t>
  </si>
  <si>
    <t>Serta 5.5%</t>
  </si>
  <si>
    <t>PANEL</t>
  </si>
  <si>
    <t>PANEL(40)</t>
  </si>
  <si>
    <t>Beauty Silk</t>
  </si>
  <si>
    <t>Serta Sheep 5.5%</t>
  </si>
  <si>
    <t>VALANCE</t>
  </si>
  <si>
    <t>VALANCE(41)</t>
  </si>
  <si>
    <t>Beautyrest</t>
  </si>
  <si>
    <t>Sharper Image Heated 3%</t>
  </si>
  <si>
    <t>ASSORTMENT</t>
  </si>
  <si>
    <t>ASSORTMENT(90)</t>
  </si>
  <si>
    <t>Beautyrest Black</t>
  </si>
  <si>
    <t>Sharper Image Heated 4%</t>
  </si>
  <si>
    <t xml:space="preserve">Beautyrest Platinum </t>
  </si>
  <si>
    <t>Sharper Image Heated 5%</t>
  </si>
  <si>
    <t>ELEC MATT PAD</t>
  </si>
  <si>
    <t>Beautyrest Silver</t>
  </si>
  <si>
    <t>Sharper Image Nonheated 4%</t>
  </si>
  <si>
    <t>ELECT BLANKET</t>
  </si>
  <si>
    <t>BeautySleep</t>
  </si>
  <si>
    <t>Sharper Image Nonheated 5%</t>
  </si>
  <si>
    <t>HEATING PAD</t>
  </si>
  <si>
    <t>BEBE</t>
  </si>
  <si>
    <t>Woolrich 5%</t>
  </si>
  <si>
    <t>INSERT CARD</t>
  </si>
  <si>
    <t>Bebe (Black/White Label Not Holiday)</t>
  </si>
  <si>
    <t>LOVESEAT &amp; SOFA</t>
  </si>
  <si>
    <t>BEBE- BLACK</t>
  </si>
  <si>
    <t>OTHER ACCESSORIES</t>
  </si>
  <si>
    <t>Bebe Bow</t>
  </si>
  <si>
    <t>Ottoman &amp; Cubes &amp; Stool &amp; Bean Bag</t>
  </si>
  <si>
    <t>Bebe Girls</t>
  </si>
  <si>
    <t>PET BEDS</t>
  </si>
  <si>
    <t>BEBE Holiday</t>
  </si>
  <si>
    <t>Bed Guardian</t>
  </si>
  <si>
    <t>Beekman Home</t>
  </si>
  <si>
    <t>BELK</t>
  </si>
  <si>
    <t>Better Home and Gardens</t>
  </si>
  <si>
    <t>Beyond Soft</t>
  </si>
  <si>
    <t xml:space="preserve">Big One </t>
  </si>
  <si>
    <t>BIG ONE KIDS</t>
  </si>
  <si>
    <t xml:space="preserve">Biltmore </t>
  </si>
  <si>
    <t>Blueberry Cove</t>
  </si>
  <si>
    <t>Broyhill</t>
  </si>
  <si>
    <t>Canadiana</t>
  </si>
  <si>
    <t>Carson &amp; Cooper</t>
  </si>
  <si>
    <t>CATCH'N ZZZ</t>
  </si>
  <si>
    <t>Catherine Malandrino</t>
  </si>
  <si>
    <t>Catherine Malandrino (Holiday)</t>
  </si>
  <si>
    <t>CATHERINE MALANDRINO HOTEL</t>
  </si>
  <si>
    <t>Catherine Malandrino Kids</t>
  </si>
  <si>
    <t>Cedar &amp; Rose</t>
  </si>
  <si>
    <t>Celebrate Home</t>
  </si>
  <si>
    <t xml:space="preserve">Chapel Hill </t>
  </si>
  <si>
    <t>Chapel Hill by Croscill</t>
  </si>
  <si>
    <t>Charter Club</t>
  </si>
  <si>
    <t>Chelsea Square</t>
  </si>
  <si>
    <t>City Lights</t>
  </si>
  <si>
    <t>Clean Habitat</t>
  </si>
  <si>
    <t>Clean Spaces</t>
  </si>
  <si>
    <t>Coastal Dunes</t>
  </si>
  <si>
    <t>Coastal Home</t>
  </si>
  <si>
    <t>Codi</t>
  </si>
  <si>
    <t>COLIN + JUSTIN</t>
  </si>
  <si>
    <t>Comfort Bay</t>
  </si>
  <si>
    <t>Comfort Classics</t>
  </si>
  <si>
    <t>Comfort Spaces</t>
  </si>
  <si>
    <t>Concierge Collection</t>
  </si>
  <si>
    <t>Cottage Laundry</t>
  </si>
  <si>
    <t>Cozzze</t>
  </si>
  <si>
    <t xml:space="preserve">Cremieux  </t>
  </si>
  <si>
    <t>Crosby St</t>
  </si>
  <si>
    <t>Croscill</t>
  </si>
  <si>
    <t>Croscill Casual</t>
  </si>
  <si>
    <t>Croscill Classics</t>
  </si>
  <si>
    <t>Croscill Home</t>
  </si>
  <si>
    <t>Crown and Ivy</t>
  </si>
  <si>
    <t>Cuddl Duds</t>
  </si>
  <si>
    <t>Debbie Travis</t>
  </si>
  <si>
    <t>Deck the Halls</t>
  </si>
  <si>
    <t>Décor 5</t>
  </si>
  <si>
    <t>Décor Studio</t>
  </si>
  <si>
    <t>Designlab</t>
  </si>
  <si>
    <t>DesignLab Kids</t>
  </si>
  <si>
    <t>EE</t>
  </si>
  <si>
    <t>Emryn House</t>
  </si>
  <si>
    <t>Everyday Living</t>
  </si>
  <si>
    <t xml:space="preserve">Fall Festival </t>
  </si>
  <si>
    <t>Fall Sweet Fall</t>
  </si>
  <si>
    <t>Family Chef</t>
  </si>
  <si>
    <t>Festive Days</t>
  </si>
  <si>
    <t>finch + robin</t>
  </si>
  <si>
    <t>Found &amp; Fable</t>
  </si>
  <si>
    <t>Free Home</t>
  </si>
  <si>
    <t>Friends Forever</t>
  </si>
  <si>
    <t>GAMER SQUAD</t>
  </si>
  <si>
    <t>GATHER AT HOME</t>
  </si>
  <si>
    <t>Ghostly Greeting</t>
  </si>
  <si>
    <t>Goodness&amp;Grace</t>
  </si>
  <si>
    <t>Grace Mitchell</t>
  </si>
  <si>
    <t>Gramercy Park</t>
  </si>
  <si>
    <t>Graveyard</t>
  </si>
  <si>
    <t>Grayson &amp; Parker</t>
  </si>
  <si>
    <t>H2Ology</t>
  </si>
  <si>
    <t>Halloween Hill</t>
  </si>
  <si>
    <t>Hampton Hill</t>
  </si>
  <si>
    <t>Happy Fall</t>
  </si>
  <si>
    <t>Happy Halloween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</si>
  <si>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</si>
  <si>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</si>
  <si>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</si>
  <si>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</si>
  <si>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</si>
  <si>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</si>
  <si>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</si>
  <si>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Harbor House Blue</t>
  </si>
  <si>
    <t>HD design</t>
  </si>
  <si>
    <t>Hello Autumn</t>
  </si>
  <si>
    <t>H-HOME TRENDS PL</t>
  </si>
  <si>
    <t>Holiday Lane</t>
  </si>
  <si>
    <t>Holiday Time</t>
  </si>
  <si>
    <t>Holiday traditions</t>
  </si>
  <si>
    <t>HOLLY &amp; MOSS</t>
  </si>
  <si>
    <t xml:space="preserve">Holly Jolly </t>
  </si>
  <si>
    <t>HOME DECORATORS COLLECTION</t>
  </si>
  <si>
    <t>Home Design</t>
  </si>
  <si>
    <t>Home Essence</t>
  </si>
  <si>
    <t xml:space="preserve">Home for the Holidays </t>
  </si>
  <si>
    <t>Home Trends</t>
  </si>
  <si>
    <t>Homenetic</t>
  </si>
  <si>
    <t>Honeybloom</t>
  </si>
  <si>
    <t xml:space="preserve">Hotel </t>
  </si>
  <si>
    <t>Hotel by park avenue</t>
  </si>
  <si>
    <t>Hotel Collection</t>
  </si>
  <si>
    <t>Hotel Style</t>
  </si>
  <si>
    <t>HOUSE &amp; HOME</t>
  </si>
  <si>
    <t>Huntington Home</t>
  </si>
  <si>
    <t>Hyde lane</t>
  </si>
  <si>
    <t>Hyde Park</t>
  </si>
  <si>
    <t>Ideology</t>
  </si>
  <si>
    <t>INK+IVY</t>
  </si>
  <si>
    <t>INK+IVY Kids</t>
  </si>
  <si>
    <t>Inspire by Intelligent Design</t>
  </si>
  <si>
    <t xml:space="preserve">Intelligent Design </t>
  </si>
  <si>
    <t>Intelligent Design Kids</t>
  </si>
  <si>
    <t xml:space="preserve">Interiors </t>
  </si>
  <si>
    <t>Jack O Lantern Lane</t>
  </si>
  <si>
    <t>JLA Art</t>
  </si>
  <si>
    <t>JLA Furniture</t>
  </si>
  <si>
    <t>JLA Home</t>
  </si>
  <si>
    <t>Josie by Natori</t>
  </si>
  <si>
    <t>Joy Peace Love</t>
  </si>
  <si>
    <t>Joy to the world</t>
  </si>
  <si>
    <t>JOYLAND</t>
  </si>
  <si>
    <t>Juniper Home</t>
  </si>
  <si>
    <t>Kids by Kirkton House</t>
  </si>
  <si>
    <t>Kirkton House</t>
  </si>
  <si>
    <t>Laila Ali</t>
  </si>
  <si>
    <t>Laura Ashley</t>
  </si>
  <si>
    <t>laurel + pine</t>
  </si>
  <si>
    <t>Life At Home</t>
  </si>
  <si>
    <t>Lightning Bug</t>
  </si>
  <si>
    <t>Living Clean</t>
  </si>
  <si>
    <t>Liz</t>
  </si>
  <si>
    <t>Luxury Hotel</t>
  </si>
  <si>
    <t>Luxury Hotel by Park Ave</t>
  </si>
  <si>
    <t>Madison Classics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</si>
  <si>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</si>
  <si>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</si>
  <si>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</si>
  <si>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</si>
  <si>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</si>
  <si>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</si>
  <si>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</si>
  <si>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</si>
  <si>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</si>
  <si>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</si>
  <si>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 xml:space="preserve">Martha Stewart Everyday </t>
  </si>
  <si>
    <t>Member’s Choice</t>
  </si>
  <si>
    <t>MEMBER'S MARK</t>
  </si>
  <si>
    <t>Merriest Holiday</t>
  </si>
  <si>
    <t>Merry &amp; Bright</t>
  </si>
  <si>
    <t xml:space="preserve">Merry Moments </t>
  </si>
  <si>
    <t>Mi Zone</t>
  </si>
  <si>
    <t>Mi Zone Kids</t>
  </si>
  <si>
    <t>Michael Strahan</t>
  </si>
  <si>
    <t>Microtec</t>
  </si>
  <si>
    <t>Modavari</t>
  </si>
  <si>
    <t>Modern Southern Home</t>
  </si>
  <si>
    <t>Moonbeams</t>
  </si>
  <si>
    <t>MP2 by Madison Park</t>
  </si>
  <si>
    <t>N Natori</t>
  </si>
  <si>
    <t>N Natori Studio</t>
  </si>
  <si>
    <t>Nanette Holiday</t>
  </si>
  <si>
    <t>Nanette Lepore</t>
  </si>
  <si>
    <t>nanette Lepore (holiday silver)</t>
  </si>
  <si>
    <t>Nanette Lepore Coastal</t>
  </si>
  <si>
    <t>Nanette Lepore Girls</t>
  </si>
  <si>
    <t>Nanette Lepore holiday</t>
  </si>
  <si>
    <t>Natori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</si>
  <si>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</si>
  <si>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</si>
  <si>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</si>
  <si>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</si>
  <si>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</si>
  <si>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</si>
  <si>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</si>
  <si>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</si>
  <si>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On your own</t>
  </si>
  <si>
    <t>Onva</t>
  </si>
  <si>
    <t>Opalhouse</t>
  </si>
  <si>
    <t>Opalhouse designed with Jungalow</t>
  </si>
  <si>
    <t>Origin 21</t>
  </si>
  <si>
    <t>Palms End</t>
  </si>
  <si>
    <t>Park Avenue</t>
  </si>
  <si>
    <t>Peak Performance</t>
  </si>
  <si>
    <t>Peppermint place</t>
  </si>
  <si>
    <t>Premier Comfort</t>
  </si>
  <si>
    <t>Premier Comfort Signature</t>
  </si>
  <si>
    <t>President Choice</t>
  </si>
  <si>
    <t>Protech</t>
  </si>
  <si>
    <t>Providence</t>
  </si>
  <si>
    <t>Real Living</t>
  </si>
  <si>
    <t>Regency Heights</t>
  </si>
  <si>
    <t>Royal Velvet</t>
  </si>
  <si>
    <t>Scare Factory</t>
  </si>
  <si>
    <t>SCM</t>
  </si>
  <si>
    <t>SCM KIDS</t>
  </si>
  <si>
    <t>Scoop Delights</t>
  </si>
  <si>
    <t>SDS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</si>
  <si>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</si>
  <si>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</si>
  <si>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</si>
  <si>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</si>
  <si>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</si>
  <si>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</si>
  <si>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Number</t>
  </si>
  <si>
    <t>Sleep Philosophy</t>
  </si>
  <si>
    <t>Smart Cool by Sleep Philosophy</t>
  </si>
  <si>
    <t>Soft Touch</t>
  </si>
  <si>
    <t>Soloft</t>
  </si>
  <si>
    <t>Sonoma</t>
  </si>
  <si>
    <t>South Street Loft</t>
  </si>
  <si>
    <t>Southern Living</t>
  </si>
  <si>
    <t>Spider</t>
  </si>
  <si>
    <t>Spirits Bright</t>
  </si>
  <si>
    <t xml:space="preserve">Spooktacular </t>
  </si>
  <si>
    <t>Spooky Halloween</t>
  </si>
  <si>
    <t>Spooky Hollow</t>
  </si>
  <si>
    <t>Spooky Season</t>
  </si>
  <si>
    <t>Stoneberry</t>
  </si>
  <si>
    <t>Studio D</t>
  </si>
  <si>
    <t>Style Sanctuary</t>
  </si>
  <si>
    <t>Style Sanctuary Blue</t>
  </si>
  <si>
    <t>Style Sanctuary Bronze</t>
  </si>
  <si>
    <t>SunSmart</t>
  </si>
  <si>
    <t>Super Listing</t>
  </si>
  <si>
    <t>Tao</t>
  </si>
  <si>
    <t>Target</t>
  </si>
  <si>
    <t>Thankful &amp; Blessed</t>
  </si>
  <si>
    <t xml:space="preserve">Threshold  </t>
  </si>
  <si>
    <t>Threshold designed with Studio McGee</t>
  </si>
  <si>
    <t>TINSEL+ FROST</t>
  </si>
  <si>
    <t>Tiny Dreamer</t>
  </si>
  <si>
    <t>Tis the Season</t>
  </si>
  <si>
    <t>Tis the Season - Gold</t>
  </si>
  <si>
    <t>Tis the Season - Silver</t>
  </si>
  <si>
    <t>Tracey Boyd</t>
  </si>
  <si>
    <t>Track &amp; Tail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</si>
  <si>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</si>
  <si>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</si>
  <si>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</si>
  <si>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</si>
  <si>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</si>
  <si>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</si>
  <si>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</si>
  <si>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</si>
  <si>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Dreams</t>
  </si>
  <si>
    <t>Urban Essential</t>
  </si>
  <si>
    <t>Urban Habitat</t>
  </si>
  <si>
    <t>Urban Habitat Kids</t>
  </si>
  <si>
    <t>Warm &amp; Cozy</t>
  </si>
  <si>
    <t>WB Hotel</t>
  </si>
  <si>
    <t>Wendy Bellisimo Holiday-green</t>
  </si>
  <si>
    <t>Wendy Bellissimo</t>
  </si>
  <si>
    <t>Wendy Bellissimo holiday</t>
  </si>
  <si>
    <t>Wendy Bellissimo Home</t>
  </si>
  <si>
    <t>Wendy Bellissimo(gold tree holiday label)</t>
  </si>
  <si>
    <t xml:space="preserve">Wendy Harvest 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</si>
  <si>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</si>
  <si>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</si>
  <si>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</si>
  <si>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</si>
  <si>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</si>
  <si>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</si>
  <si>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</si>
  <si>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YOUR ZONE</t>
  </si>
  <si>
    <t>Zoopet</t>
  </si>
  <si>
    <t>max weight</t>
  </si>
  <si>
    <t>max length</t>
  </si>
  <si>
    <t>max width</t>
  </si>
  <si>
    <t>max height</t>
  </si>
  <si>
    <t>max_lengirth</t>
  </si>
  <si>
    <t>Packaging Weight</t>
  </si>
  <si>
    <t>Base Weight</t>
  </si>
  <si>
    <t>FBA Base Cost</t>
  </si>
  <si>
    <t>FBA Cost/lbs</t>
  </si>
  <si>
    <t>Total FBA Cost</t>
  </si>
  <si>
    <t>Storage Cost/CFT (Jan-Sept)</t>
  </si>
  <si>
    <t>Storage Cost/CFT (Oct-Dec)</t>
  </si>
  <si>
    <t>size tier</t>
  </si>
  <si>
    <t>Standard-size less than 10oz</t>
  </si>
  <si>
    <t>Standard-size small 10-16oz</t>
  </si>
  <si>
    <t>Large standard-size less than 10oz</t>
  </si>
  <si>
    <t>Large standard-size 10-16oz</t>
  </si>
  <si>
    <t>Large standard-size one lb to two lb</t>
  </si>
  <si>
    <t>Large standard-size two lb to three lb</t>
  </si>
  <si>
    <t>Large standard-size over three lb</t>
  </si>
  <si>
    <t>Small oversize</t>
  </si>
  <si>
    <t>Medium oversize</t>
  </si>
  <si>
    <t>Large oversize</t>
  </si>
  <si>
    <t>Special oversize</t>
  </si>
  <si>
    <t>Standard-size less than 10oz (clothing)</t>
  </si>
  <si>
    <t>Standard-size small 10-16oz (clothing)</t>
  </si>
  <si>
    <t>Large standard-size less than 10oz (clothing)</t>
  </si>
  <si>
    <t>Large standard-size 10-16oz (clothing)</t>
  </si>
  <si>
    <t>Large standard-size one lb to two lb (clothing)</t>
  </si>
  <si>
    <t>Large standard-size two lb to three lb (clothing)</t>
  </si>
  <si>
    <t>Large standard-size over three lb (clothing)</t>
  </si>
  <si>
    <t>Categories</t>
  </si>
  <si>
    <t>Referral % Tier 1</t>
  </si>
  <si>
    <t>Referral % Tier 2</t>
  </si>
  <si>
    <t>Referral % to Use</t>
  </si>
  <si>
    <t>Minimum</t>
  </si>
  <si>
    <t xml:space="preserve">Automotive &amp; Powersports </t>
  </si>
  <si>
    <t>Beauty</t>
  </si>
  <si>
    <t>8% for products with a price up to $10.00 15% for products with a price above $10.00</t>
  </si>
  <si>
    <t>Camera and Photo</t>
  </si>
  <si>
    <t>Cell Phone Devices</t>
  </si>
  <si>
    <t>Clothing &amp; Accessories</t>
  </si>
  <si>
    <t>Consumer Electronics</t>
  </si>
  <si>
    <t xml:space="preserve">Electronics Accessories </t>
  </si>
  <si>
    <t>15% for the portion of the total sales price up to $100; and 8% for any portion of the total sales price greater than $100</t>
  </si>
  <si>
    <t>Furniture &amp; Décor</t>
  </si>
  <si>
    <t>15 % for the portion of the total sales price up to $200.00 10% for any portion of the sales price greater than $200.00 (excluding mattresses, which will be charged 15% on all sale prices);</t>
  </si>
  <si>
    <t>Grocery &amp; Gourmet Food</t>
  </si>
  <si>
    <t>Health &amp; Personal Care</t>
  </si>
  <si>
    <t>Home &amp; Garden (including Pet Supplies)</t>
  </si>
  <si>
    <t>Jewelry</t>
  </si>
  <si>
    <t>20% for the portion of the total sales price up to $250.00 5% for any portion of the total sales price greater than $250.00</t>
  </si>
  <si>
    <t xml:space="preserve">Kitchen </t>
  </si>
  <si>
    <t>Luggage &amp; Travel Accessories</t>
  </si>
  <si>
    <t xml:space="preserve">Major Appliances </t>
  </si>
  <si>
    <t xml:space="preserve">Musical Instruments </t>
  </si>
  <si>
    <t>Office Products</t>
  </si>
  <si>
    <t>Outdoors</t>
  </si>
  <si>
    <t>Personal Computers</t>
  </si>
  <si>
    <t xml:space="preserve">Shoes, Handbags &amp; Sunglasses </t>
  </si>
  <si>
    <t xml:space="preserve">Sports (excluding Sports Collectibles) </t>
  </si>
  <si>
    <t>Tools &amp; Home Improvement</t>
  </si>
  <si>
    <t>Toys &amp; Games</t>
  </si>
  <si>
    <t>Watches</t>
  </si>
  <si>
    <t>16% for the portion of the total sales price up to $1,500; and 3% for any portion of the total sales price greater than $1,500</t>
  </si>
  <si>
    <t>20' Container CBM</t>
  </si>
  <si>
    <t>40' Container CBM</t>
  </si>
  <si>
    <t>ETD</t>
  </si>
  <si>
    <t>Season curve</t>
  </si>
  <si>
    <r>
      <rPr>
        <sz val="8"/>
        <color theme="1"/>
        <rFont val="Arial"/>
        <family val="2"/>
      </rPr>
      <t xml:space="preserve">DOC Mini Floor Cushions for Classroom </t>
    </r>
    <r>
      <rPr>
        <sz val="8"/>
        <color theme="1"/>
        <rFont val="宋体"/>
        <family val="3"/>
        <charset val="134"/>
      </rPr>
      <t>树桩款</t>
    </r>
    <r>
      <rPr>
        <sz val="8"/>
        <color theme="1"/>
        <rFont val="Arial"/>
        <family val="2"/>
      </rPr>
      <t xml:space="preserve"> </t>
    </r>
  </si>
  <si>
    <t>MOQ:  800 units /color LD:60days</t>
  </si>
  <si>
    <t>Week No.</t>
  </si>
  <si>
    <t>Class code</t>
  </si>
  <si>
    <t>item</t>
  </si>
  <si>
    <t>Style_Number</t>
  </si>
  <si>
    <t>size</t>
  </si>
  <si>
    <t>Case pack
TBD</t>
  </si>
  <si>
    <t>Initital qty</t>
  </si>
  <si>
    <t>Avg weekly sale</t>
  </si>
  <si>
    <t>Size ratio</t>
  </si>
  <si>
    <t>Est. Launch time:60 days</t>
  </si>
  <si>
    <t>New</t>
  </si>
  <si>
    <t>树桩</t>
  </si>
  <si>
    <t>6PK</t>
  </si>
  <si>
    <t>8PK</t>
  </si>
  <si>
    <t>Total</t>
  </si>
  <si>
    <t>first 8  wks</t>
  </si>
  <si>
    <t>wk9-14</t>
  </si>
  <si>
    <t>Ship date</t>
  </si>
  <si>
    <t>1st shipment with Production lead time</t>
  </si>
  <si>
    <t>2nd shipment 4 weeks later than 1st shippment</t>
  </si>
  <si>
    <t xml:space="preserve">Case pack
TBD    </t>
  </si>
  <si>
    <t>Total pcs per color</t>
  </si>
  <si>
    <t>Initial order qty</t>
  </si>
  <si>
    <t>LA-AWD</t>
  </si>
  <si>
    <t>Est.aval.</t>
  </si>
  <si>
    <t>Current</t>
  </si>
  <si>
    <t>colors</t>
  </si>
  <si>
    <t>DOC31-0812</t>
  </si>
  <si>
    <t>Multi</t>
  </si>
  <si>
    <t>DOC31-0924</t>
  </si>
  <si>
    <t>Vibrant（6P）-Green, Beige, Grey, Turquoise, Navy, Coffee</t>
  </si>
  <si>
    <t>DOC31-0925</t>
  </si>
  <si>
    <t>Assorted（6P)-Navy, Purple, Yellow, Red, Green, Turquoise</t>
  </si>
  <si>
    <t>DOC31-0926</t>
  </si>
  <si>
    <t>lovely（8P)-Pink, Red, Green, Turquoise, Yellow, Navy, Purple, Coffee</t>
  </si>
  <si>
    <t>Aug as base</t>
  </si>
  <si>
    <t>Seasonal curve base on 2026 fcst</t>
  </si>
  <si>
    <t>AVG</t>
  </si>
  <si>
    <r>
      <rPr>
        <b/>
        <sz val="11"/>
        <color theme="1"/>
        <rFont val="等线"/>
        <family val="3"/>
        <charset val="134"/>
      </rPr>
      <t>发件人</t>
    </r>
    <r>
      <rPr>
        <b/>
        <sz val="11"/>
        <color theme="1"/>
        <rFont val="等线"/>
        <family val="3"/>
        <charset val="134"/>
      </rPr>
      <t>:</t>
    </r>
    <r>
      <rPr>
        <sz val="11"/>
        <color theme="1"/>
        <rFont val="等线"/>
        <family val="3"/>
        <charset val="134"/>
      </rPr>
      <t xml:space="preserve"> zhangliyue &lt;zhangliyue@jlachina.com&gt;</t>
    </r>
  </si>
  <si>
    <r>
      <rPr>
        <b/>
        <sz val="11"/>
        <color theme="1"/>
        <rFont val="等线"/>
        <family val="3"/>
        <charset val="134"/>
      </rPr>
      <t>发送时间</t>
    </r>
    <r>
      <rPr>
        <b/>
        <sz val="11"/>
        <color theme="1"/>
        <rFont val="等线"/>
        <family val="3"/>
        <charset val="134"/>
      </rPr>
      <t>:</t>
    </r>
    <r>
      <rPr>
        <sz val="11"/>
        <color theme="1"/>
        <rFont val="等线"/>
        <family val="3"/>
        <charset val="134"/>
      </rPr>
      <t xml:space="preserve"> 2026</t>
    </r>
    <r>
      <rPr>
        <sz val="11"/>
        <color theme="1"/>
        <rFont val="等线"/>
        <family val="3"/>
        <charset val="134"/>
      </rPr>
      <t>年</t>
    </r>
    <r>
      <rPr>
        <sz val="11"/>
        <color theme="1"/>
        <rFont val="等线"/>
        <family val="3"/>
        <charset val="134"/>
      </rPr>
      <t>1</t>
    </r>
    <r>
      <rPr>
        <sz val="11"/>
        <color theme="1"/>
        <rFont val="等线"/>
        <family val="3"/>
        <charset val="134"/>
      </rPr>
      <t>月</t>
    </r>
    <r>
      <rPr>
        <sz val="11"/>
        <color theme="1"/>
        <rFont val="等线"/>
        <family val="3"/>
        <charset val="134"/>
      </rPr>
      <t>26</t>
    </r>
    <r>
      <rPr>
        <sz val="11"/>
        <color theme="1"/>
        <rFont val="等线"/>
        <family val="3"/>
        <charset val="134"/>
      </rPr>
      <t>日</t>
    </r>
    <r>
      <rPr>
        <sz val="11"/>
        <color theme="1"/>
        <rFont val="等线"/>
        <family val="3"/>
        <charset val="134"/>
      </rPr>
      <t xml:space="preserve"> 16:03</t>
    </r>
  </si>
  <si>
    <r>
      <rPr>
        <b/>
        <sz val="11"/>
        <color theme="1"/>
        <rFont val="等线"/>
        <family val="3"/>
        <charset val="134"/>
      </rPr>
      <t>收件人</t>
    </r>
    <r>
      <rPr>
        <b/>
        <sz val="11"/>
        <color theme="1"/>
        <rFont val="等线"/>
        <family val="3"/>
        <charset val="134"/>
      </rPr>
      <t>:</t>
    </r>
    <r>
      <rPr>
        <sz val="11"/>
        <color theme="1"/>
        <rFont val="等线"/>
        <family val="3"/>
        <charset val="134"/>
      </rPr>
      <t xml:space="preserve"> 'lixiaoqing' &lt;lixiaoqing@syncsoftinc.cn&gt;</t>
    </r>
  </si>
  <si>
    <r>
      <rPr>
        <b/>
        <sz val="11"/>
        <color theme="1"/>
        <rFont val="等线"/>
        <family val="3"/>
        <charset val="134"/>
      </rPr>
      <t>抄送</t>
    </r>
    <r>
      <rPr>
        <b/>
        <sz val="11"/>
        <color theme="1"/>
        <rFont val="等线"/>
        <family val="3"/>
        <charset val="134"/>
      </rPr>
      <t>:</t>
    </r>
    <r>
      <rPr>
        <sz val="11"/>
        <color theme="1"/>
        <rFont val="等线"/>
        <family val="3"/>
        <charset val="134"/>
      </rPr>
      <t xml:space="preserve"> 'chenjie' &lt;chenjie@syncsoftinc.cn&gt;</t>
    </r>
  </si>
  <si>
    <r>
      <rPr>
        <b/>
        <sz val="11"/>
        <color theme="1"/>
        <rFont val="等线"/>
        <family val="3"/>
        <charset val="134"/>
      </rPr>
      <t>主题:</t>
    </r>
    <r>
      <rPr>
        <sz val="11"/>
        <color theme="1"/>
        <rFont val="等线"/>
        <family val="3"/>
        <charset val="134"/>
      </rPr>
      <t xml:space="preserve"> DOC Mini Floor Cushions for Classroom 树桩款加款下单</t>
    </r>
  </si>
  <si>
    <r>
      <rPr>
        <sz val="10.5"/>
        <color theme="1"/>
        <rFont val="等线"/>
        <family val="3"/>
        <charset val="134"/>
      </rPr>
      <t>Hi Xiaoqing</t>
    </r>
    <r>
      <rPr>
        <sz val="10.5"/>
        <color theme="1"/>
        <rFont val="等线"/>
        <family val="3"/>
        <charset val="134"/>
      </rPr>
      <t>，</t>
    </r>
  </si>
  <si>
    <t>新品需要协助确认分批的船期，信息如下：</t>
  </si>
  <si>
    <t>销售安排</t>
  </si>
  <si>
    <r>
      <rPr>
        <sz val="10.5"/>
        <color theme="1"/>
        <rFont val="宋体"/>
        <family val="3"/>
        <charset val="134"/>
      </rPr>
      <t>在</t>
    </r>
    <r>
      <rPr>
        <sz val="10.5"/>
        <color theme="1"/>
        <rFont val="Calibri"/>
        <family val="2"/>
      </rPr>
      <t>4</t>
    </r>
    <r>
      <rPr>
        <sz val="10.5"/>
        <color theme="1"/>
        <rFont val="宋体"/>
        <family val="3"/>
        <charset val="134"/>
      </rPr>
      <t>周内达到日销</t>
    </r>
    <r>
      <rPr>
        <sz val="10.5"/>
        <color theme="1"/>
        <rFont val="Calibri"/>
        <family val="2"/>
      </rPr>
      <t>7</t>
    </r>
    <r>
      <rPr>
        <sz val="10.5"/>
        <color theme="1"/>
        <rFont val="宋体"/>
        <family val="3"/>
        <charset val="134"/>
      </rPr>
      <t>件，计划下单总数一个</t>
    </r>
    <r>
      <rPr>
        <sz val="10.5"/>
        <color theme="1"/>
        <rFont val="宋体"/>
        <family val="3"/>
        <charset val="134"/>
      </rPr>
      <t>MOQ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宋体"/>
        <family val="3"/>
        <charset val="134"/>
      </rPr>
      <t>6000</t>
    </r>
    <r>
      <rPr>
        <sz val="10.5"/>
        <color theme="1"/>
        <rFont val="宋体"/>
        <family val="3"/>
        <charset val="134"/>
      </rPr>
      <t>指的是一件的量，我们做的是六件或者八件套）</t>
    </r>
  </si>
  <si>
    <t>尺寸比例：</t>
  </si>
  <si>
    <t>Variations</t>
  </si>
  <si>
    <t>%</t>
  </si>
  <si>
    <t>6 PK</t>
  </si>
  <si>
    <t>8 PK</t>
  </si>
  <si>
    <t>MOQ</t>
  </si>
  <si>
    <t>6000 pcs/color</t>
  </si>
  <si>
    <t>  </t>
  </si>
  <si>
    <t>Lead Time</t>
  </si>
  <si>
    <r>
      <rPr>
        <sz val="10.5"/>
        <color theme="1"/>
        <rFont val="Calibri"/>
        <family val="2"/>
      </rPr>
      <t>90</t>
    </r>
    <r>
      <rPr>
        <sz val="10.5"/>
        <color theme="1"/>
        <rFont val="宋体"/>
        <family val="3"/>
        <charset val="134"/>
      </rPr>
      <t>天</t>
    </r>
  </si>
  <si>
    <t>出运方式</t>
  </si>
  <si>
    <t>AWD</t>
  </si>
  <si>
    <t>季节性变化曲线</t>
  </si>
  <si>
    <r>
      <rPr>
        <sz val="10.5"/>
        <color theme="1"/>
        <rFont val="宋体"/>
        <family val="3"/>
        <charset val="134"/>
      </rPr>
      <t xml:space="preserve">参考已在售的老品 </t>
    </r>
    <r>
      <rPr>
        <sz val="10.5"/>
        <color theme="1"/>
        <rFont val="宋体"/>
        <family val="3"/>
        <charset val="134"/>
      </rPr>
      <t>DOC Mini Floor Cushions for Classroom</t>
    </r>
    <r>
      <rPr>
        <sz val="10.5"/>
        <color theme="1"/>
        <rFont val="宋体"/>
        <family val="3"/>
        <charset val="134"/>
      </rPr>
      <t>，只做</t>
    </r>
    <r>
      <rPr>
        <sz val="10.5"/>
        <color theme="1"/>
        <rFont val="宋体"/>
        <family val="3"/>
        <charset val="134"/>
      </rPr>
      <t>6-9</t>
    </r>
    <r>
      <rPr>
        <sz val="10.5"/>
        <color theme="1"/>
        <rFont val="宋体"/>
        <family val="3"/>
        <charset val="134"/>
      </rPr>
      <t>月份旺季</t>
    </r>
  </si>
  <si>
    <t>有问题随时联系，谢谢！</t>
  </si>
  <si>
    <r>
      <rPr>
        <sz val="10.5"/>
        <color theme="1"/>
        <rFont val="等线"/>
        <family val="3"/>
        <charset val="134"/>
      </rPr>
      <t>Thanks</t>
    </r>
    <r>
      <rPr>
        <sz val="10.5"/>
        <color theme="1"/>
        <rFont val="等线"/>
        <family val="3"/>
        <charset val="134"/>
      </rPr>
      <t>，</t>
    </r>
  </si>
  <si>
    <t>July</t>
  </si>
  <si>
    <t>Amazon FBA US Price Quote Sheet</t>
  </si>
  <si>
    <t>Sample Image</t>
  </si>
  <si>
    <t>Item Name</t>
  </si>
  <si>
    <t xml:space="preserve">Fabrication </t>
  </si>
  <si>
    <t xml:space="preserve">Size </t>
  </si>
  <si>
    <t>F.O.B cost  ￥</t>
  </si>
  <si>
    <t xml:space="preserve">Carton size </t>
  </si>
  <si>
    <t>Total Units per Carton</t>
  </si>
  <si>
    <t xml:space="preserve">product size </t>
  </si>
  <si>
    <t>product weight (lb)</t>
  </si>
  <si>
    <t>Lead time</t>
  </si>
  <si>
    <t>FOB</t>
  </si>
  <si>
    <t xml:space="preserve">HTS </t>
  </si>
  <si>
    <t xml:space="preserve"> Duty Rate</t>
  </si>
  <si>
    <t>L (cm)</t>
  </si>
  <si>
    <t>W (cm)</t>
  </si>
  <si>
    <t xml:space="preserve"> H (cm)</t>
  </si>
  <si>
    <t>L (inch)</t>
  </si>
  <si>
    <t>W (inch)</t>
  </si>
  <si>
    <t xml:space="preserve"> H (inch)</t>
  </si>
  <si>
    <t>15*15*3.25"（6个装）</t>
  </si>
  <si>
    <t>1000套每色，单个SKU不要低于300</t>
  </si>
  <si>
    <t>60days（过年需要额外增加30天）</t>
  </si>
  <si>
    <t>shanghai</t>
  </si>
  <si>
    <t>9404.90.2030</t>
  </si>
  <si>
    <t>15*15*3.25"（8个装）</t>
  </si>
  <si>
    <t>外壳：180gsm短毛绒喷印，上下合缝，内部拷边。装15英寸长的3#隐形配色尼龙拉链,拉链头带锁片,拉链两头要固定，装一字型拉链。
坐垫内芯壳面料：50g浅灰色涤丝纺 ，做一个内壳，内芯填充 25D整块海绵，高3英寸。
包装：涤丝纺内壳压缩卷装，外壳折叠入水印礼盒，同牛津布垫子类似的包装方式</t>
  </si>
  <si>
    <t>Cover fabric:100% polyester 180gsm digital printed mink.
Inner fabric:100% polyester 50gsm taffeta,solid
Inner:25D regular faom;3# invisible zipper
Packing:compress, Rolled up, Cylinder vinyl bag with insert</t>
    <phoneticPr fontId="48" type="noConversion"/>
  </si>
  <si>
    <t>Cover fabric:100% polyester 180gsm digital printed mink.
Inner fabric:100% polyester 50gsm taffeta,solid
Inner:25D regular faom;3# invisible zipper
Packing:compress, Rolled up, Cylinder vinyl bag with insert</t>
    <phoneticPr fontId="48" type="noConversion"/>
  </si>
  <si>
    <t>外壳：180gsm短毛绒喷印，上下合缝，内部拷边。装15英寸长的3#隐形配色尼龙拉链,拉链头带锁片,拉链两头要固定，装一字型拉链。
坐垫内芯壳面料：50g浅灰色涤丝纺 ，做一个内壳，内芯填充 25D整块海绵，高3英寸。
包装：直接压缩卷装，同灯芯绒包装方式</t>
    <phoneticPr fontId="48" type="noConversion"/>
  </si>
  <si>
    <t>DOC31-1025</t>
    <phoneticPr fontId="51" type="noConversion"/>
  </si>
  <si>
    <t>DOC31-1026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</si>
</sst>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[$-409]dd/mmm/yy;@"/>
    <numFmt numFmtId="178" formatCode="&quot;US$&quot;#,##0.00_);[Red]\(&quot;US$&quot;#,##0.00\)"/>
    <numFmt numFmtId="179" formatCode="&quot;￥&quot;#,##0.00_);[Red]\(&quot;￥&quot;#,##0.00\)"/>
    <numFmt numFmtId="180" formatCode="#,##0.00_);[Red]\(#,##0.00\)"/>
    <numFmt numFmtId="181" formatCode="[$€-2]\ #,##0.00_);[Red]\([$€-2]\ #,##0.00\)"/>
    <numFmt numFmtId="182" formatCode="0_ "/>
    <numFmt numFmtId="183" formatCode="0.00_ "/>
    <numFmt numFmtId="184" formatCode="0.00_);[Red]\(0.00\)"/>
    <numFmt numFmtId="185" formatCode="_ * #,##0_ ;_ * \-#,##0_ ;_ * &quot;-&quot;??_ ;_ @_ "/>
    <numFmt numFmtId="186" formatCode="m/d;@"/>
    <numFmt numFmtId="187" formatCode="&quot;$&quot;#,##0.00"/>
    <numFmt numFmtId="188" formatCode="0.0"/>
    <numFmt numFmtId="189" formatCode="0.000"/>
    <numFmt numFmtId="190" formatCode="&quot;$&quot;#,##0.0000"/>
    <numFmt numFmtId="191" formatCode="[$$-409]#,##0.00;\-[$$-409]#,##0.00"/>
    <numFmt numFmtId="192" formatCode="[$$-481]#,##0.00_);[Red]\([$$-481]#,##0.00\)"/>
    <numFmt numFmtId="193" formatCode="0.0%"/>
    <numFmt numFmtId="194" formatCode="&quot;$&quot;#,##0.00_);\(&quot;$&quot;#,##0.00\)"/>
    <numFmt numFmtId="195" formatCode="[$￥-804]#,##0.00;[Red][$￥-804]#,##0.00"/>
  </numFmts>
  <fonts count="52">
    <font>
      <sz val="11"/>
      <name val="Calibri"/>
      <charset val="134"/>
    </font>
    <font>
      <sz val="10"/>
      <name val="微软雅黑"/>
      <family val="2"/>
      <charset val="134"/>
    </font>
    <font>
      <sz val="9"/>
      <name val="微软雅黑"/>
      <family val="2"/>
      <charset val="134"/>
    </font>
    <font>
      <sz val="10"/>
      <name val="Arial"/>
      <family val="2"/>
    </font>
    <font>
      <b/>
      <sz val="18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name val="Arial"/>
      <family val="2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</font>
    <font>
      <sz val="10.5"/>
      <color theme="1"/>
      <name val="等线"/>
      <family val="3"/>
      <charset val="134"/>
    </font>
    <font>
      <b/>
      <sz val="10.5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0"/>
      <color rgb="FF000000"/>
      <name val="Arial"/>
      <family val="2"/>
    </font>
    <font>
      <sz val="10.5"/>
      <color theme="1"/>
      <name val="Calibri"/>
      <family val="2"/>
    </font>
    <font>
      <b/>
      <sz val="10.5"/>
      <color theme="1"/>
      <name val="Calibri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宋体"/>
      <family val="3"/>
      <charset val="134"/>
    </font>
    <font>
      <sz val="8"/>
      <name val="Arial"/>
      <family val="2"/>
    </font>
    <font>
      <b/>
      <sz val="8"/>
      <color theme="1"/>
      <name val="Arial"/>
      <family val="2"/>
    </font>
    <font>
      <sz val="12"/>
      <color theme="1"/>
      <name val="Arial"/>
      <family val="2"/>
    </font>
    <font>
      <sz val="8"/>
      <color rgb="FFFF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rgb="FF111111"/>
      <name val="等线"/>
      <family val="3"/>
      <charset val="134"/>
      <scheme val="minor"/>
    </font>
    <font>
      <b/>
      <i/>
      <sz val="11"/>
      <name val="Calibri"/>
      <family val="2"/>
    </font>
    <font>
      <b/>
      <sz val="11"/>
      <name val="Calibri"/>
      <family val="2"/>
    </font>
    <font>
      <sz val="11"/>
      <name val="等线"/>
      <family val="3"/>
      <charset val="134"/>
      <scheme val="minor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indexed="12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sz val="11"/>
      <color theme="1"/>
      <name val="等线"/>
      <family val="3"/>
      <charset val="134"/>
    </font>
    <font>
      <sz val="11"/>
      <name val="宋体"/>
      <family val="3"/>
      <charset val="134"/>
    </font>
    <font>
      <b/>
      <sz val="9"/>
      <name val="Tahoma"/>
      <family val="2"/>
    </font>
    <font>
      <sz val="9"/>
      <name val="Tahoma"/>
      <family val="2"/>
    </font>
    <font>
      <sz val="11"/>
      <name val="Calibri"/>
      <family val="2"/>
    </font>
    <font>
      <sz val="9"/>
      <name val="Calibri"/>
      <family val="2"/>
    </font>
    <font>
      <b/>
      <i/>
      <sz val="10"/>
      <name val="Arial"/>
      <family val="2"/>
    </font>
    <font>
      <sz val="10"/>
      <name val="Calibri"/>
      <family val="2"/>
    </font>
    <font>
      <sz val="9"/>
      <name val="等线"/>
      <family val="3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D85C6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99CC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rgb="FFE4BEF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9">
    <xf numFmtId="0" fontId="0" fillId="0" borderId="0"/>
    <xf numFmtId="43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6" fontId="21" fillId="0" borderId="0" applyFont="0" applyFill="0" applyBorder="0" applyAlignment="0" applyProtection="0"/>
    <xf numFmtId="0" fontId="21" fillId="0" borderId="0"/>
    <xf numFmtId="0" fontId="47" fillId="0" borderId="0"/>
    <xf numFmtId="0" fontId="21" fillId="0" borderId="0"/>
    <xf numFmtId="0" fontId="29" fillId="0" borderId="0"/>
    <xf numFmtId="0" fontId="29" fillId="0" borderId="0"/>
    <xf numFmtId="177" fontId="21" fillId="0" borderId="0"/>
    <xf numFmtId="0" fontId="9" fillId="0" borderId="0"/>
    <xf numFmtId="9" fontId="9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1" fillId="0" borderId="0"/>
    <xf numFmtId="9" fontId="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1" fillId="0" borderId="0"/>
    <xf numFmtId="0" fontId="9" fillId="0" borderId="0">
      <alignment vertical="center"/>
    </xf>
    <xf numFmtId="0" fontId="9" fillId="0" borderId="0"/>
    <xf numFmtId="176" fontId="9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1" fillId="0" borderId="0" applyFont="0" applyFill="0" applyBorder="0" applyAlignment="0" applyProtection="0">
      <alignment vertical="center"/>
    </xf>
    <xf numFmtId="0" fontId="21" fillId="0" borderId="0"/>
    <xf numFmtId="177" fontId="21" fillId="0" borderId="0"/>
    <xf numFmtId="177" fontId="21" fillId="0" borderId="0"/>
    <xf numFmtId="0" fontId="3" fillId="0" borderId="0"/>
  </cellStyleXfs>
  <cellXfs count="25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178" fontId="3" fillId="0" borderId="0" xfId="0" applyNumberFormat="1" applyFont="1" applyAlignment="1">
      <alignment horizontal="center" wrapText="1"/>
    </xf>
    <xf numFmtId="0" fontId="3" fillId="0" borderId="0" xfId="0" applyFont="1"/>
    <xf numFmtId="178" fontId="5" fillId="2" borderId="2" xfId="0" applyNumberFormat="1" applyFont="1" applyFill="1" applyBorder="1" applyAlignment="1">
      <alignment horizontal="center" vertical="center" wrapText="1"/>
    </xf>
    <xf numFmtId="180" fontId="5" fillId="2" borderId="6" xfId="0" applyNumberFormat="1" applyFont="1" applyFill="1" applyBorder="1" applyAlignment="1">
      <alignment horizontal="center" vertical="center" wrapText="1"/>
    </xf>
    <xf numFmtId="1" fontId="6" fillId="0" borderId="7" xfId="5" applyNumberFormat="1" applyFont="1" applyBorder="1" applyAlignment="1">
      <alignment horizontal="center" wrapText="1"/>
    </xf>
    <xf numFmtId="181" fontId="2" fillId="0" borderId="7" xfId="28" applyNumberFormat="1" applyFont="1" applyBorder="1" applyAlignment="1">
      <alignment horizontal="center" vertical="center" wrapText="1"/>
    </xf>
    <xf numFmtId="179" fontId="5" fillId="2" borderId="7" xfId="0" applyNumberFormat="1" applyFont="1" applyFill="1" applyBorder="1" applyAlignment="1">
      <alignment horizontal="center" vertical="center" wrapText="1"/>
    </xf>
    <xf numFmtId="178" fontId="7" fillId="2" borderId="7" xfId="0" applyNumberFormat="1" applyFont="1" applyFill="1" applyBorder="1" applyAlignment="1">
      <alignment horizontal="center" vertical="center" wrapText="1"/>
    </xf>
    <xf numFmtId="182" fontId="8" fillId="0" borderId="7" xfId="5" applyNumberFormat="1" applyFont="1" applyBorder="1" applyAlignment="1">
      <alignment horizontal="center" vertical="center" wrapText="1"/>
    </xf>
    <xf numFmtId="0" fontId="7" fillId="0" borderId="7" xfId="21" applyFont="1" applyBorder="1" applyAlignment="1">
      <alignment horizontal="center" vertical="center"/>
    </xf>
    <xf numFmtId="183" fontId="7" fillId="0" borderId="7" xfId="21" applyNumberFormat="1" applyFont="1" applyBorder="1" applyAlignment="1">
      <alignment horizontal="center" vertical="center"/>
    </xf>
    <xf numFmtId="184" fontId="8" fillId="0" borderId="7" xfId="5" applyNumberFormat="1" applyFont="1" applyBorder="1" applyAlignment="1">
      <alignment horizontal="center" vertical="center" wrapText="1"/>
    </xf>
    <xf numFmtId="181" fontId="2" fillId="3" borderId="7" xfId="28" applyNumberFormat="1" applyFont="1" applyFill="1" applyBorder="1" applyAlignment="1">
      <alignment horizontal="center" vertical="center" wrapText="1"/>
    </xf>
    <xf numFmtId="179" fontId="5" fillId="3" borderId="7" xfId="0" applyNumberFormat="1" applyFont="1" applyFill="1" applyBorder="1" applyAlignment="1">
      <alignment horizontal="center" vertical="center" wrapText="1"/>
    </xf>
    <xf numFmtId="178" fontId="7" fillId="3" borderId="7" xfId="0" applyNumberFormat="1" applyFont="1" applyFill="1" applyBorder="1" applyAlignment="1">
      <alignment horizontal="center" vertical="center" wrapText="1"/>
    </xf>
    <xf numFmtId="182" fontId="8" fillId="3" borderId="7" xfId="5" applyNumberFormat="1" applyFont="1" applyFill="1" applyBorder="1" applyAlignment="1">
      <alignment horizontal="center" vertical="center" wrapText="1"/>
    </xf>
    <xf numFmtId="0" fontId="7" fillId="3" borderId="7" xfId="21" applyFont="1" applyFill="1" applyBorder="1" applyAlignment="1">
      <alignment horizontal="center" vertical="center"/>
    </xf>
    <xf numFmtId="183" fontId="7" fillId="3" borderId="7" xfId="21" applyNumberFormat="1" applyFont="1" applyFill="1" applyBorder="1" applyAlignment="1">
      <alignment horizontal="center" vertical="center"/>
    </xf>
    <xf numFmtId="184" fontId="8" fillId="3" borderId="7" xfId="5" applyNumberFormat="1" applyFont="1" applyFill="1" applyBorder="1" applyAlignment="1">
      <alignment horizontal="center" vertical="center" wrapText="1"/>
    </xf>
    <xf numFmtId="179" fontId="5" fillId="3" borderId="8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84" fontId="3" fillId="0" borderId="0" xfId="0" applyNumberFormat="1" applyFont="1" applyAlignment="1">
      <alignment horizontal="center" vertical="center"/>
    </xf>
    <xf numFmtId="184" fontId="3" fillId="0" borderId="0" xfId="0" applyNumberFormat="1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justify"/>
    </xf>
    <xf numFmtId="0" fontId="12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14" fillId="4" borderId="12" xfId="0" applyFont="1" applyFill="1" applyBorder="1" applyAlignment="1">
      <alignment horizontal="left" wrapText="1"/>
    </xf>
    <xf numFmtId="0" fontId="14" fillId="4" borderId="13" xfId="0" applyFont="1" applyFill="1" applyBorder="1" applyAlignment="1">
      <alignment horizontal="left" wrapText="1"/>
    </xf>
    <xf numFmtId="0" fontId="14" fillId="5" borderId="14" xfId="0" applyFont="1" applyFill="1" applyBorder="1" applyAlignment="1">
      <alignment horizontal="left" wrapText="1"/>
    </xf>
    <xf numFmtId="10" fontId="14" fillId="5" borderId="15" xfId="0" applyNumberFormat="1" applyFont="1" applyFill="1" applyBorder="1" applyAlignment="1">
      <alignment horizontal="right" wrapText="1"/>
    </xf>
    <xf numFmtId="0" fontId="15" fillId="0" borderId="0" xfId="0" applyFont="1" applyAlignment="1">
      <alignment horizontal="justify"/>
    </xf>
    <xf numFmtId="0" fontId="16" fillId="0" borderId="0" xfId="0" applyFont="1" applyAlignment="1">
      <alignment horizontal="justify"/>
    </xf>
    <xf numFmtId="185" fontId="17" fillId="0" borderId="0" xfId="1" applyNumberFormat="1" applyFont="1" applyAlignment="1"/>
    <xf numFmtId="186" fontId="18" fillId="0" borderId="0" xfId="14" applyNumberFormat="1" applyFont="1" applyAlignment="1">
      <alignment vertical="center"/>
    </xf>
    <xf numFmtId="185" fontId="19" fillId="0" borderId="0" xfId="1" applyNumberFormat="1" applyFont="1" applyAlignment="1"/>
    <xf numFmtId="9" fontId="17" fillId="0" borderId="0" xfId="2" applyFont="1" applyAlignment="1"/>
    <xf numFmtId="185" fontId="17" fillId="6" borderId="0" xfId="1" applyNumberFormat="1" applyFont="1" applyFill="1" applyAlignment="1"/>
    <xf numFmtId="14" fontId="17" fillId="0" borderId="0" xfId="1" applyNumberFormat="1" applyFont="1" applyAlignment="1"/>
    <xf numFmtId="185" fontId="20" fillId="0" borderId="7" xfId="1" applyNumberFormat="1" applyFont="1" applyFill="1" applyBorder="1" applyAlignment="1">
      <alignment horizontal="center" vertical="center" wrapText="1"/>
    </xf>
    <xf numFmtId="185" fontId="17" fillId="0" borderId="0" xfId="1" applyNumberFormat="1" applyFont="1" applyAlignment="1">
      <alignment wrapText="1"/>
    </xf>
    <xf numFmtId="185" fontId="17" fillId="0" borderId="0" xfId="1" applyNumberFormat="1" applyFont="1" applyAlignment="1">
      <alignment vertical="center" wrapText="1"/>
    </xf>
    <xf numFmtId="185" fontId="17" fillId="0" borderId="7" xfId="1" applyNumberFormat="1" applyFont="1" applyFill="1" applyBorder="1" applyAlignment="1"/>
    <xf numFmtId="0" fontId="21" fillId="0" borderId="7" xfId="0" applyFont="1" applyBorder="1"/>
    <xf numFmtId="185" fontId="17" fillId="6" borderId="16" xfId="1" applyNumberFormat="1" applyFont="1" applyFill="1" applyBorder="1" applyAlignment="1"/>
    <xf numFmtId="185" fontId="22" fillId="0" borderId="16" xfId="1" applyNumberFormat="1" applyFont="1" applyFill="1" applyBorder="1" applyAlignment="1"/>
    <xf numFmtId="185" fontId="17" fillId="0" borderId="16" xfId="1" applyNumberFormat="1" applyFont="1" applyFill="1" applyBorder="1" applyAlignment="1"/>
    <xf numFmtId="185" fontId="17" fillId="0" borderId="2" xfId="1" applyNumberFormat="1" applyFont="1" applyFill="1" applyBorder="1" applyAlignment="1"/>
    <xf numFmtId="185" fontId="23" fillId="0" borderId="7" xfId="1" applyNumberFormat="1" applyFont="1" applyFill="1" applyBorder="1" applyAlignment="1">
      <alignment horizontal="center" vertical="center" wrapText="1"/>
    </xf>
    <xf numFmtId="1" fontId="17" fillId="6" borderId="7" xfId="1" applyNumberFormat="1" applyFont="1" applyFill="1" applyBorder="1" applyAlignment="1"/>
    <xf numFmtId="9" fontId="17" fillId="0" borderId="0" xfId="2" applyFont="1" applyBorder="1" applyAlignment="1"/>
    <xf numFmtId="1" fontId="17" fillId="7" borderId="1" xfId="0" applyNumberFormat="1" applyFont="1" applyFill="1" applyBorder="1"/>
    <xf numFmtId="185" fontId="17" fillId="0" borderId="7" xfId="1" applyNumberFormat="1" applyFont="1" applyBorder="1" applyAlignment="1"/>
    <xf numFmtId="185" fontId="17" fillId="6" borderId="7" xfId="1" applyNumberFormat="1" applyFont="1" applyFill="1" applyBorder="1" applyAlignment="1"/>
    <xf numFmtId="185" fontId="17" fillId="0" borderId="0" xfId="1" applyNumberFormat="1" applyFont="1" applyFill="1" applyBorder="1" applyAlignment="1"/>
    <xf numFmtId="185" fontId="24" fillId="6" borderId="0" xfId="1" applyNumberFormat="1" applyFont="1" applyFill="1" applyAlignment="1"/>
    <xf numFmtId="0" fontId="25" fillId="0" borderId="0" xfId="0" applyFont="1"/>
    <xf numFmtId="0" fontId="17" fillId="0" borderId="0" xfId="0" applyFont="1"/>
    <xf numFmtId="185" fontId="23" fillId="8" borderId="7" xfId="1" applyNumberFormat="1" applyFont="1" applyFill="1" applyBorder="1" applyAlignment="1">
      <alignment horizontal="left" vertical="center" wrapText="1"/>
    </xf>
    <xf numFmtId="185" fontId="17" fillId="0" borderId="0" xfId="1" applyNumberFormat="1" applyFont="1" applyAlignment="1">
      <alignment horizontal="center" vertical="center" wrapText="1"/>
    </xf>
    <xf numFmtId="185" fontId="23" fillId="8" borderId="7" xfId="1" applyNumberFormat="1" applyFont="1" applyFill="1" applyBorder="1" applyAlignment="1">
      <alignment horizontal="center" vertical="center" wrapText="1"/>
    </xf>
    <xf numFmtId="185" fontId="24" fillId="0" borderId="7" xfId="1" applyNumberFormat="1" applyFont="1" applyBorder="1" applyAlignment="1"/>
    <xf numFmtId="185" fontId="24" fillId="0" borderId="0" xfId="1" applyNumberFormat="1" applyFont="1" applyAlignment="1"/>
    <xf numFmtId="14" fontId="17" fillId="6" borderId="0" xfId="1" applyNumberFormat="1" applyFont="1" applyFill="1" applyAlignment="1"/>
    <xf numFmtId="14" fontId="26" fillId="0" borderId="0" xfId="1" applyNumberFormat="1" applyFont="1" applyFill="1" applyAlignment="1"/>
    <xf numFmtId="9" fontId="19" fillId="0" borderId="0" xfId="2" applyFont="1" applyAlignment="1"/>
    <xf numFmtId="0" fontId="12" fillId="0" borderId="0" xfId="0" applyFont="1" applyAlignment="1">
      <alignment horizontal="justify" vertical="center" wrapText="1"/>
    </xf>
    <xf numFmtId="0" fontId="12" fillId="0" borderId="0" xfId="0" applyFont="1" applyAlignment="1">
      <alignment horizontal="justify" vertical="top"/>
    </xf>
    <xf numFmtId="186" fontId="27" fillId="0" borderId="0" xfId="0" applyNumberFormat="1" applyFont="1" applyAlignment="1">
      <alignment vertical="center"/>
    </xf>
    <xf numFmtId="1" fontId="28" fillId="0" borderId="17" xfId="0" applyNumberFormat="1" applyFont="1" applyBorder="1" applyAlignment="1">
      <alignment vertical="center"/>
    </xf>
    <xf numFmtId="1" fontId="28" fillId="9" borderId="17" xfId="0" applyNumberFormat="1" applyFont="1" applyFill="1" applyBorder="1" applyAlignment="1">
      <alignment vertical="center"/>
    </xf>
    <xf numFmtId="1" fontId="28" fillId="10" borderId="0" xfId="0" applyNumberFormat="1" applyFont="1" applyFill="1"/>
    <xf numFmtId="1" fontId="28" fillId="11" borderId="0" xfId="0" applyNumberFormat="1" applyFont="1" applyFill="1"/>
    <xf numFmtId="1" fontId="28" fillId="12" borderId="0" xfId="0" applyNumberFormat="1" applyFont="1" applyFill="1"/>
    <xf numFmtId="1" fontId="28" fillId="13" borderId="0" xfId="0" applyNumberFormat="1" applyFont="1" applyFill="1"/>
    <xf numFmtId="9" fontId="24" fillId="0" borderId="0" xfId="2" applyFont="1" applyAlignment="1"/>
    <xf numFmtId="0" fontId="29" fillId="0" borderId="0" xfId="7"/>
    <xf numFmtId="0" fontId="30" fillId="0" borderId="7" xfId="7" applyFont="1" applyBorder="1"/>
    <xf numFmtId="0" fontId="29" fillId="0" borderId="0" xfId="7" applyAlignment="1">
      <alignment wrapText="1"/>
    </xf>
    <xf numFmtId="0" fontId="29" fillId="0" borderId="7" xfId="7" applyBorder="1"/>
    <xf numFmtId="2" fontId="29" fillId="0" borderId="7" xfId="7" applyNumberFormat="1" applyBorder="1"/>
    <xf numFmtId="0" fontId="29" fillId="0" borderId="2" xfId="7" applyBorder="1"/>
    <xf numFmtId="187" fontId="29" fillId="0" borderId="7" xfId="7" applyNumberFormat="1" applyBorder="1"/>
    <xf numFmtId="0" fontId="31" fillId="0" borderId="7" xfId="7" applyFont="1" applyBorder="1"/>
    <xf numFmtId="0" fontId="32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187" fontId="21" fillId="0" borderId="0" xfId="25" applyNumberFormat="1" applyAlignment="1" applyProtection="1">
      <alignment wrapText="1"/>
      <protection locked="0"/>
    </xf>
    <xf numFmtId="9" fontId="0" fillId="0" borderId="0" xfId="0" applyNumberFormat="1"/>
    <xf numFmtId="0" fontId="34" fillId="0" borderId="0" xfId="0" applyFont="1"/>
    <xf numFmtId="0" fontId="47" fillId="0" borderId="0" xfId="5" applyAlignment="1">
      <alignment vertical="center"/>
    </xf>
    <xf numFmtId="0" fontId="47" fillId="0" borderId="0" xfId="5" applyAlignment="1">
      <alignment horizontal="center" wrapText="1"/>
    </xf>
    <xf numFmtId="0" fontId="47" fillId="0" borderId="0" xfId="5" applyAlignment="1">
      <alignment wrapText="1"/>
    </xf>
    <xf numFmtId="187" fontId="47" fillId="0" borderId="0" xfId="5" applyNumberFormat="1" applyAlignment="1">
      <alignment wrapText="1"/>
    </xf>
    <xf numFmtId="1" fontId="47" fillId="0" borderId="0" xfId="5" applyNumberFormat="1" applyAlignment="1">
      <alignment wrapText="1"/>
    </xf>
    <xf numFmtId="188" fontId="47" fillId="0" borderId="0" xfId="5" applyNumberFormat="1" applyAlignment="1">
      <alignment wrapText="1"/>
    </xf>
    <xf numFmtId="4" fontId="47" fillId="0" borderId="0" xfId="5" applyNumberFormat="1" applyAlignment="1">
      <alignment wrapText="1"/>
    </xf>
    <xf numFmtId="2" fontId="47" fillId="0" borderId="0" xfId="5" applyNumberFormat="1" applyAlignment="1">
      <alignment wrapText="1"/>
    </xf>
    <xf numFmtId="10" fontId="47" fillId="0" borderId="0" xfId="5" applyNumberFormat="1" applyAlignment="1">
      <alignment wrapText="1"/>
    </xf>
    <xf numFmtId="189" fontId="47" fillId="0" borderId="0" xfId="5" applyNumberFormat="1" applyAlignment="1">
      <alignment wrapText="1"/>
    </xf>
    <xf numFmtId="190" fontId="47" fillId="0" borderId="0" xfId="5" applyNumberFormat="1" applyAlignment="1">
      <alignment wrapText="1"/>
    </xf>
    <xf numFmtId="0" fontId="0" fillId="0" borderId="0" xfId="0" applyAlignment="1">
      <alignment wrapText="1"/>
    </xf>
    <xf numFmtId="0" fontId="33" fillId="0" borderId="7" xfId="5" applyFont="1" applyBorder="1" applyAlignment="1">
      <alignment horizontal="center" wrapText="1"/>
    </xf>
    <xf numFmtId="0" fontId="33" fillId="17" borderId="7" xfId="5" applyFont="1" applyFill="1" applyBorder="1" applyAlignment="1">
      <alignment horizontal="center" wrapText="1"/>
    </xf>
    <xf numFmtId="0" fontId="32" fillId="17" borderId="7" xfId="5" applyFont="1" applyFill="1" applyBorder="1" applyAlignment="1">
      <alignment horizontal="center" wrapText="1"/>
    </xf>
    <xf numFmtId="0" fontId="32" fillId="6" borderId="7" xfId="5" applyFont="1" applyFill="1" applyBorder="1" applyAlignment="1">
      <alignment horizontal="center" wrapText="1"/>
    </xf>
    <xf numFmtId="0" fontId="33" fillId="6" borderId="7" xfId="5" applyFont="1" applyFill="1" applyBorder="1" applyAlignment="1">
      <alignment horizontal="center" wrapText="1"/>
    </xf>
    <xf numFmtId="1" fontId="33" fillId="0" borderId="7" xfId="5" applyNumberFormat="1" applyFont="1" applyBorder="1" applyAlignment="1">
      <alignment horizontal="center" wrapText="1"/>
    </xf>
    <xf numFmtId="187" fontId="33" fillId="14" borderId="7" xfId="5" applyNumberFormat="1" applyFont="1" applyFill="1" applyBorder="1" applyAlignment="1">
      <alignment wrapText="1"/>
    </xf>
    <xf numFmtId="4" fontId="33" fillId="14" borderId="7" xfId="5" applyNumberFormat="1" applyFont="1" applyFill="1" applyBorder="1" applyAlignment="1">
      <alignment wrapText="1"/>
    </xf>
    <xf numFmtId="2" fontId="33" fillId="14" borderId="7" xfId="5" applyNumberFormat="1" applyFont="1" applyFill="1" applyBorder="1" applyAlignment="1">
      <alignment wrapText="1"/>
    </xf>
    <xf numFmtId="187" fontId="35" fillId="18" borderId="7" xfId="6" applyNumberFormat="1" applyFont="1" applyFill="1" applyBorder="1" applyAlignment="1">
      <alignment wrapText="1"/>
    </xf>
    <xf numFmtId="0" fontId="32" fillId="0" borderId="7" xfId="5" applyFont="1" applyBorder="1" applyAlignment="1">
      <alignment horizontal="center" wrapText="1"/>
    </xf>
    <xf numFmtId="188" fontId="33" fillId="0" borderId="7" xfId="5" applyNumberFormat="1" applyFont="1" applyBorder="1" applyAlignment="1">
      <alignment horizontal="center" wrapText="1"/>
    </xf>
    <xf numFmtId="189" fontId="35" fillId="0" borderId="7" xfId="6" applyNumberFormat="1" applyFont="1" applyBorder="1" applyAlignment="1">
      <alignment wrapText="1"/>
    </xf>
    <xf numFmtId="2" fontId="36" fillId="0" borderId="7" xfId="6" applyNumberFormat="1" applyFont="1" applyBorder="1" applyAlignment="1">
      <alignment wrapText="1"/>
    </xf>
    <xf numFmtId="1" fontId="35" fillId="0" borderId="7" xfId="6" applyNumberFormat="1" applyFont="1" applyBorder="1" applyAlignment="1">
      <alignment wrapText="1"/>
    </xf>
    <xf numFmtId="187" fontId="35" fillId="0" borderId="7" xfId="6" applyNumberFormat="1" applyFont="1" applyBorder="1" applyAlignment="1">
      <alignment wrapText="1"/>
    </xf>
    <xf numFmtId="10" fontId="33" fillId="0" borderId="7" xfId="5" applyNumberFormat="1" applyFont="1" applyBorder="1" applyAlignment="1">
      <alignment horizontal="center" wrapText="1"/>
    </xf>
    <xf numFmtId="187" fontId="35" fillId="6" borderId="7" xfId="6" applyNumberFormat="1" applyFont="1" applyFill="1" applyBorder="1" applyAlignment="1">
      <alignment wrapText="1"/>
    </xf>
    <xf numFmtId="188" fontId="33" fillId="15" borderId="7" xfId="5" applyNumberFormat="1" applyFont="1" applyFill="1" applyBorder="1" applyAlignment="1">
      <alignment horizontal="center" wrapText="1"/>
    </xf>
    <xf numFmtId="1" fontId="35" fillId="15" borderId="7" xfId="6" applyNumberFormat="1" applyFont="1" applyFill="1" applyBorder="1" applyAlignment="1">
      <alignment wrapText="1"/>
    </xf>
    <xf numFmtId="2" fontId="35" fillId="15" borderId="7" xfId="6" applyNumberFormat="1" applyFont="1" applyFill="1" applyBorder="1" applyAlignment="1">
      <alignment wrapText="1"/>
    </xf>
    <xf numFmtId="2" fontId="33" fillId="15" borderId="7" xfId="5" applyNumberFormat="1" applyFont="1" applyFill="1" applyBorder="1" applyAlignment="1">
      <alignment horizontal="center" wrapText="1"/>
    </xf>
    <xf numFmtId="10" fontId="33" fillId="15" borderId="7" xfId="5" applyNumberFormat="1" applyFont="1" applyFill="1" applyBorder="1" applyAlignment="1">
      <alignment horizontal="center" wrapText="1"/>
    </xf>
    <xf numFmtId="10" fontId="33" fillId="16" borderId="7" xfId="5" applyNumberFormat="1" applyFont="1" applyFill="1" applyBorder="1" applyAlignment="1">
      <alignment horizontal="center" wrapText="1"/>
    </xf>
    <xf numFmtId="187" fontId="35" fillId="16" borderId="7" xfId="6" applyNumberFormat="1" applyFont="1" applyFill="1" applyBorder="1" applyAlignment="1">
      <alignment wrapText="1"/>
    </xf>
    <xf numFmtId="187" fontId="36" fillId="16" borderId="7" xfId="6" applyNumberFormat="1" applyFont="1" applyFill="1" applyBorder="1" applyAlignment="1">
      <alignment wrapText="1"/>
    </xf>
    <xf numFmtId="0" fontId="36" fillId="14" borderId="7" xfId="6" applyFont="1" applyFill="1" applyBorder="1" applyAlignment="1">
      <alignment wrapText="1"/>
    </xf>
    <xf numFmtId="187" fontId="35" fillId="14" borderId="7" xfId="6" applyNumberFormat="1" applyFont="1" applyFill="1" applyBorder="1" applyAlignment="1">
      <alignment wrapText="1"/>
    </xf>
    <xf numFmtId="187" fontId="36" fillId="14" borderId="7" xfId="6" applyNumberFormat="1" applyFont="1" applyFill="1" applyBorder="1" applyAlignment="1">
      <alignment wrapText="1"/>
    </xf>
    <xf numFmtId="10" fontId="33" fillId="14" borderId="7" xfId="5" applyNumberFormat="1" applyFont="1" applyFill="1" applyBorder="1" applyAlignment="1">
      <alignment horizontal="center" wrapText="1"/>
    </xf>
    <xf numFmtId="187" fontId="35" fillId="2" borderId="7" xfId="6" applyNumberFormat="1" applyFont="1" applyFill="1" applyBorder="1" applyAlignment="1">
      <alignment wrapText="1"/>
    </xf>
    <xf numFmtId="10" fontId="35" fillId="2" borderId="7" xfId="6" applyNumberFormat="1" applyFont="1" applyFill="1" applyBorder="1" applyAlignment="1">
      <alignment wrapText="1"/>
    </xf>
    <xf numFmtId="10" fontId="35" fillId="19" borderId="7" xfId="6" applyNumberFormat="1" applyFont="1" applyFill="1" applyBorder="1" applyAlignment="1">
      <alignment wrapText="1"/>
    </xf>
    <xf numFmtId="10" fontId="36" fillId="2" borderId="7" xfId="6" applyNumberFormat="1" applyFont="1" applyFill="1" applyBorder="1" applyAlignment="1">
      <alignment wrapText="1"/>
    </xf>
    <xf numFmtId="0" fontId="47" fillId="0" borderId="7" xfId="5" applyBorder="1" applyAlignment="1">
      <alignment horizontal="center" vertical="center" wrapText="1"/>
    </xf>
    <xf numFmtId="0" fontId="47" fillId="0" borderId="7" xfId="5" applyBorder="1" applyAlignment="1">
      <alignment vertical="center" wrapText="1"/>
    </xf>
    <xf numFmtId="191" fontId="47" fillId="0" borderId="7" xfId="5" applyNumberFormat="1" applyBorder="1" applyAlignment="1">
      <alignment vertical="center" wrapText="1"/>
    </xf>
    <xf numFmtId="192" fontId="47" fillId="0" borderId="7" xfId="5" applyNumberFormat="1" applyBorder="1" applyAlignment="1">
      <alignment vertical="center" wrapText="1"/>
    </xf>
    <xf numFmtId="0" fontId="47" fillId="0" borderId="7" xfId="5" applyBorder="1" applyAlignment="1">
      <alignment horizontal="left" vertical="center" wrapText="1"/>
    </xf>
    <xf numFmtId="181" fontId="47" fillId="0" borderId="7" xfId="5" applyNumberFormat="1" applyBorder="1" applyAlignment="1">
      <alignment vertical="center" wrapText="1"/>
    </xf>
    <xf numFmtId="1" fontId="47" fillId="0" borderId="7" xfId="5" applyNumberFormat="1" applyBorder="1" applyAlignment="1">
      <alignment vertical="center"/>
    </xf>
    <xf numFmtId="187" fontId="47" fillId="0" borderId="3" xfId="5" applyNumberFormat="1" applyBorder="1" applyAlignment="1">
      <alignment horizontal="center" vertical="center" wrapText="1"/>
    </xf>
    <xf numFmtId="4" fontId="47" fillId="0" borderId="3" xfId="5" applyNumberFormat="1" applyBorder="1" applyAlignment="1">
      <alignment vertical="center"/>
    </xf>
    <xf numFmtId="2" fontId="47" fillId="0" borderId="3" xfId="5" applyNumberFormat="1" applyBorder="1" applyAlignment="1">
      <alignment vertical="center"/>
    </xf>
    <xf numFmtId="187" fontId="47" fillId="20" borderId="7" xfId="5" applyNumberFormat="1" applyFill="1" applyBorder="1" applyAlignment="1">
      <alignment vertical="center"/>
    </xf>
    <xf numFmtId="0" fontId="47" fillId="0" borderId="7" xfId="5" applyBorder="1" applyAlignment="1">
      <alignment vertical="center"/>
    </xf>
    <xf numFmtId="188" fontId="47" fillId="0" borderId="7" xfId="5" applyNumberFormat="1" applyBorder="1" applyAlignment="1">
      <alignment vertical="center"/>
    </xf>
    <xf numFmtId="189" fontId="47" fillId="20" borderId="7" xfId="5" applyNumberFormat="1" applyFill="1" applyBorder="1" applyAlignment="1">
      <alignment vertical="center"/>
    </xf>
    <xf numFmtId="2" fontId="47" fillId="0" borderId="7" xfId="5" applyNumberFormat="1" applyBorder="1" applyAlignment="1">
      <alignment vertical="center"/>
    </xf>
    <xf numFmtId="1" fontId="47" fillId="20" borderId="7" xfId="5" applyNumberFormat="1" applyFill="1" applyBorder="1" applyAlignment="1">
      <alignment vertical="center"/>
    </xf>
    <xf numFmtId="3" fontId="47" fillId="0" borderId="7" xfId="5" applyNumberFormat="1" applyBorder="1" applyAlignment="1">
      <alignment vertical="center"/>
    </xf>
    <xf numFmtId="193" fontId="47" fillId="0" borderId="7" xfId="5" applyNumberFormat="1" applyBorder="1" applyAlignment="1">
      <alignment vertical="center"/>
    </xf>
    <xf numFmtId="2" fontId="47" fillId="20" borderId="7" xfId="5" applyNumberFormat="1" applyFill="1" applyBorder="1" applyAlignment="1">
      <alignment vertical="center"/>
    </xf>
    <xf numFmtId="10" fontId="47" fillId="0" borderId="7" xfId="5" applyNumberFormat="1" applyBorder="1" applyAlignment="1">
      <alignment vertical="center"/>
    </xf>
    <xf numFmtId="194" fontId="7" fillId="21" borderId="18" xfId="0" applyNumberFormat="1" applyFont="1" applyFill="1" applyBorder="1" applyAlignment="1">
      <alignment horizontal="center" vertical="center" wrapText="1"/>
    </xf>
    <xf numFmtId="2" fontId="7" fillId="22" borderId="19" xfId="0" applyNumberFormat="1" applyFont="1" applyFill="1" applyBorder="1" applyAlignment="1">
      <alignment horizontal="center" vertical="center" wrapText="1"/>
    </xf>
    <xf numFmtId="187" fontId="47" fillId="0" borderId="7" xfId="5" applyNumberFormat="1" applyBorder="1" applyAlignment="1">
      <alignment vertical="center"/>
    </xf>
    <xf numFmtId="10" fontId="47" fillId="20" borderId="7" xfId="5" applyNumberFormat="1" applyFill="1" applyBorder="1" applyAlignment="1">
      <alignment vertical="center"/>
    </xf>
    <xf numFmtId="176" fontId="7" fillId="22" borderId="20" xfId="0" applyNumberFormat="1" applyFont="1" applyFill="1" applyBorder="1" applyAlignment="1">
      <alignment horizontal="center" vertical="center"/>
    </xf>
    <xf numFmtId="187" fontId="47" fillId="0" borderId="0" xfId="5" applyNumberFormat="1" applyAlignment="1">
      <alignment vertical="center"/>
    </xf>
    <xf numFmtId="10" fontId="0" fillId="20" borderId="7" xfId="12" applyNumberFormat="1" applyFont="1" applyFill="1" applyBorder="1" applyAlignment="1">
      <alignment vertical="center"/>
    </xf>
    <xf numFmtId="176" fontId="7" fillId="21" borderId="20" xfId="0" applyNumberFormat="1" applyFont="1" applyFill="1" applyBorder="1" applyAlignment="1">
      <alignment horizontal="center" vertical="center"/>
    </xf>
    <xf numFmtId="187" fontId="47" fillId="0" borderId="3" xfId="5" applyNumberFormat="1" applyBorder="1" applyAlignment="1">
      <alignment vertical="center"/>
    </xf>
    <xf numFmtId="0" fontId="21" fillId="0" borderId="0" xfId="14" applyAlignment="1" applyProtection="1">
      <alignment horizontal="left" vertical="center"/>
      <protection locked="0"/>
    </xf>
    <xf numFmtId="0" fontId="21" fillId="0" borderId="0" xfId="14" applyAlignment="1" applyProtection="1">
      <alignment horizontal="left" vertical="center" wrapText="1"/>
      <protection locked="0"/>
    </xf>
    <xf numFmtId="0" fontId="21" fillId="0" borderId="0" xfId="14" applyAlignment="1" applyProtection="1">
      <alignment horizontal="left" wrapText="1"/>
      <protection locked="0"/>
    </xf>
    <xf numFmtId="0" fontId="38" fillId="0" borderId="0" xfId="14" applyFont="1" applyAlignment="1" applyProtection="1">
      <alignment horizontal="left" vertical="center"/>
      <protection locked="0"/>
    </xf>
    <xf numFmtId="0" fontId="39" fillId="0" borderId="0" xfId="14" applyFont="1" applyAlignment="1" applyProtection="1">
      <alignment horizontal="left" vertical="center"/>
      <protection locked="0"/>
    </xf>
    <xf numFmtId="0" fontId="40" fillId="0" borderId="0" xfId="14" applyFont="1" applyAlignment="1" applyProtection="1">
      <alignment horizontal="left" vertical="center"/>
      <protection locked="0"/>
    </xf>
    <xf numFmtId="187" fontId="21" fillId="0" borderId="0" xfId="14" applyNumberFormat="1" applyAlignment="1" applyProtection="1">
      <alignment horizontal="left" vertical="center"/>
      <protection locked="0"/>
    </xf>
    <xf numFmtId="0" fontId="38" fillId="0" borderId="0" xfId="14" applyFont="1" applyAlignment="1" applyProtection="1">
      <alignment horizontal="left" vertical="center" wrapText="1"/>
      <protection locked="0"/>
    </xf>
    <xf numFmtId="0" fontId="21" fillId="0" borderId="0" xfId="14" applyAlignment="1" applyProtection="1">
      <alignment horizontal="center" vertical="center" wrapText="1"/>
      <protection locked="0"/>
    </xf>
    <xf numFmtId="0" fontId="39" fillId="0" borderId="0" xfId="14" applyFont="1" applyAlignment="1" applyProtection="1">
      <alignment horizontal="left" vertical="center" wrapText="1"/>
      <protection locked="0"/>
    </xf>
    <xf numFmtId="9" fontId="21" fillId="0" borderId="0" xfId="14" applyNumberFormat="1" applyAlignment="1" applyProtection="1">
      <alignment horizontal="center" vertical="center" wrapText="1"/>
      <protection locked="0"/>
    </xf>
    <xf numFmtId="0" fontId="40" fillId="0" borderId="0" xfId="14" applyFont="1" applyAlignment="1" applyProtection="1">
      <alignment horizontal="left" vertical="center" wrapText="1"/>
      <protection locked="0"/>
    </xf>
    <xf numFmtId="187" fontId="21" fillId="0" borderId="0" xfId="14" applyNumberFormat="1" applyAlignment="1" applyProtection="1">
      <alignment horizontal="left" vertical="center" wrapText="1"/>
      <protection locked="0"/>
    </xf>
    <xf numFmtId="0" fontId="42" fillId="0" borderId="0" xfId="14" applyFont="1" applyAlignment="1" applyProtection="1">
      <alignment horizontal="left" vertical="center" wrapText="1"/>
      <protection locked="0"/>
    </xf>
    <xf numFmtId="0" fontId="42" fillId="0" borderId="0" xfId="14" applyFont="1" applyAlignment="1">
      <alignment horizontal="left" vertical="center" wrapText="1"/>
    </xf>
    <xf numFmtId="0" fontId="38" fillId="0" borderId="0" xfId="14" applyFont="1" applyAlignment="1" applyProtection="1">
      <alignment horizontal="left" wrapText="1"/>
      <protection locked="0"/>
    </xf>
    <xf numFmtId="0" fontId="21" fillId="0" borderId="0" xfId="14" applyAlignment="1" applyProtection="1">
      <alignment horizontal="center" wrapText="1"/>
      <protection locked="0"/>
    </xf>
    <xf numFmtId="0" fontId="39" fillId="0" borderId="0" xfId="14" applyFont="1" applyAlignment="1" applyProtection="1">
      <alignment horizontal="left" wrapText="1"/>
      <protection locked="0"/>
    </xf>
    <xf numFmtId="9" fontId="21" fillId="0" borderId="0" xfId="14" applyNumberFormat="1" applyAlignment="1" applyProtection="1">
      <alignment horizontal="center" wrapText="1"/>
      <protection locked="0"/>
    </xf>
    <xf numFmtId="0" fontId="40" fillId="0" borderId="0" xfId="14" applyFont="1" applyAlignment="1" applyProtection="1">
      <alignment horizontal="left" wrapText="1"/>
      <protection locked="0"/>
    </xf>
    <xf numFmtId="187" fontId="21" fillId="0" borderId="0" xfId="14" applyNumberFormat="1" applyAlignment="1" applyProtection="1">
      <alignment horizontal="left" wrapText="1"/>
      <protection locked="0"/>
    </xf>
    <xf numFmtId="0" fontId="42" fillId="0" borderId="0" xfId="14" applyFont="1" applyAlignment="1">
      <alignment horizontal="left" wrapText="1"/>
    </xf>
    <xf numFmtId="0" fontId="42" fillId="0" borderId="0" xfId="14" applyFont="1" applyAlignment="1" applyProtection="1">
      <alignment horizontal="left" wrapText="1"/>
      <protection locked="0"/>
    </xf>
    <xf numFmtId="9" fontId="39" fillId="0" borderId="0" xfId="14" applyNumberFormat="1" applyFont="1" applyAlignment="1" applyProtection="1">
      <alignment horizontal="center" wrapText="1"/>
      <protection locked="0"/>
    </xf>
    <xf numFmtId="9" fontId="40" fillId="0" borderId="0" xfId="14" applyNumberFormat="1" applyFont="1" applyAlignment="1">
      <alignment horizontal="center" wrapText="1"/>
    </xf>
    <xf numFmtId="0" fontId="21" fillId="0" borderId="0" xfId="14" applyAlignment="1">
      <alignment horizontal="left" wrapText="1"/>
    </xf>
    <xf numFmtId="187" fontId="21" fillId="0" borderId="0" xfId="14" applyNumberFormat="1" applyAlignment="1">
      <alignment horizontal="left" wrapText="1"/>
    </xf>
    <xf numFmtId="0" fontId="42" fillId="0" borderId="0" xfId="14" applyFont="1" applyAlignment="1">
      <alignment wrapText="1"/>
    </xf>
    <xf numFmtId="14" fontId="42" fillId="0" borderId="0" xfId="14" applyNumberFormat="1" applyFont="1" applyAlignment="1">
      <alignment wrapText="1"/>
    </xf>
    <xf numFmtId="187" fontId="42" fillId="0" borderId="0" xfId="14" applyNumberFormat="1" applyFont="1" applyAlignment="1">
      <alignment horizontal="left" wrapText="1"/>
    </xf>
    <xf numFmtId="0" fontId="36" fillId="23" borderId="7" xfId="14" applyFont="1" applyFill="1" applyBorder="1" applyAlignment="1" applyProtection="1">
      <alignment horizontal="left" wrapText="1"/>
      <protection locked="0"/>
    </xf>
    <xf numFmtId="0" fontId="21" fillId="0" borderId="0" xfId="14" applyAlignment="1">
      <alignment wrapText="1"/>
    </xf>
    <xf numFmtId="14" fontId="21" fillId="0" borderId="0" xfId="14" applyNumberFormat="1" applyAlignment="1">
      <alignment wrapText="1"/>
    </xf>
    <xf numFmtId="0" fontId="42" fillId="0" borderId="0" xfId="14" applyFont="1" applyAlignment="1">
      <alignment horizontal="right" wrapText="1"/>
    </xf>
    <xf numFmtId="187" fontId="36" fillId="0" borderId="7" xfId="6" applyNumberFormat="1" applyFont="1" applyBorder="1" applyAlignment="1">
      <alignment wrapText="1"/>
    </xf>
    <xf numFmtId="0" fontId="41" fillId="0" borderId="0" xfId="25" applyFont="1" applyAlignment="1" applyProtection="1">
      <alignment horizontal="left"/>
      <protection locked="0"/>
    </xf>
    <xf numFmtId="0" fontId="21" fillId="0" borderId="7" xfId="14" applyBorder="1" applyAlignment="1" applyProtection="1">
      <alignment horizontal="left" vertical="center" wrapText="1"/>
      <protection locked="0"/>
    </xf>
    <xf numFmtId="0" fontId="21" fillId="0" borderId="7" xfId="14" applyBorder="1" applyAlignment="1" applyProtection="1">
      <alignment horizontal="left" wrapText="1"/>
      <protection locked="0"/>
    </xf>
    <xf numFmtId="0" fontId="36" fillId="0" borderId="7" xfId="25" applyFont="1" applyBorder="1" applyAlignment="1" applyProtection="1">
      <alignment horizontal="left" vertical="center" wrapText="1"/>
      <protection locked="0"/>
    </xf>
    <xf numFmtId="0" fontId="21" fillId="0" borderId="7" xfId="25" applyBorder="1" applyAlignment="1" applyProtection="1">
      <alignment horizontal="left" vertical="center" wrapText="1"/>
      <protection locked="0"/>
    </xf>
    <xf numFmtId="0" fontId="36" fillId="19" borderId="7" xfId="25" applyFont="1" applyFill="1" applyBorder="1" applyAlignment="1" applyProtection="1">
      <alignment horizontal="left" vertical="center" wrapText="1"/>
      <protection locked="0"/>
    </xf>
    <xf numFmtId="0" fontId="21" fillId="20" borderId="7" xfId="0" applyFont="1" applyFill="1" applyBorder="1" applyAlignment="1">
      <alignment vertical="center" wrapText="1"/>
    </xf>
    <xf numFmtId="0" fontId="36" fillId="0" borderId="7" xfId="25" applyFont="1" applyBorder="1" applyAlignment="1" applyProtection="1">
      <alignment vertical="center" wrapText="1"/>
      <protection locked="0"/>
    </xf>
    <xf numFmtId="0" fontId="49" fillId="0" borderId="7" xfId="25" applyFont="1" applyBorder="1" applyAlignment="1" applyProtection="1">
      <alignment horizontal="left" vertical="center" wrapText="1"/>
      <protection locked="0"/>
    </xf>
    <xf numFmtId="0" fontId="36" fillId="23" borderId="7" xfId="25" applyFont="1" applyFill="1" applyBorder="1" applyAlignment="1" applyProtection="1">
      <alignment horizontal="left" vertical="center" wrapText="1"/>
      <protection locked="0"/>
    </xf>
    <xf numFmtId="0" fontId="49" fillId="23" borderId="7" xfId="25" applyFont="1" applyFill="1" applyBorder="1" applyAlignment="1" applyProtection="1">
      <alignment horizontal="left" wrapText="1"/>
      <protection locked="0"/>
    </xf>
    <xf numFmtId="0" fontId="21" fillId="0" borderId="7" xfId="25" applyBorder="1" applyAlignment="1" applyProtection="1">
      <alignment horizontal="left" wrapText="1"/>
      <protection locked="0"/>
    </xf>
    <xf numFmtId="0" fontId="36" fillId="23" borderId="7" xfId="25" applyFont="1" applyFill="1" applyBorder="1" applyAlignment="1" applyProtection="1">
      <alignment horizontal="left" wrapText="1"/>
      <protection locked="0"/>
    </xf>
    <xf numFmtId="0" fontId="36" fillId="0" borderId="7" xfId="25" applyFont="1" applyBorder="1" applyAlignment="1" applyProtection="1">
      <alignment wrapText="1"/>
      <protection locked="0"/>
    </xf>
    <xf numFmtId="0" fontId="36" fillId="0" borderId="7" xfId="25" applyFont="1" applyBorder="1" applyAlignment="1" applyProtection="1">
      <alignment horizontal="left" wrapText="1"/>
      <protection locked="0"/>
    </xf>
    <xf numFmtId="0" fontId="21" fillId="0" borderId="7" xfId="0" applyFont="1" applyBorder="1" applyAlignment="1">
      <alignment wrapText="1"/>
    </xf>
    <xf numFmtId="187" fontId="21" fillId="0" borderId="7" xfId="25" applyNumberFormat="1" applyBorder="1" applyAlignment="1" applyProtection="1">
      <alignment horizontal="left" wrapText="1"/>
      <protection locked="0"/>
    </xf>
    <xf numFmtId="0" fontId="21" fillId="0" borderId="0" xfId="0" applyFont="1" applyAlignment="1">
      <alignment wrapText="1"/>
    </xf>
    <xf numFmtId="0" fontId="21" fillId="0" borderId="9" xfId="25" applyBorder="1" applyAlignment="1" applyProtection="1">
      <alignment horizontal="left" wrapText="1"/>
      <protection locked="0"/>
    </xf>
    <xf numFmtId="0" fontId="50" fillId="0" borderId="0" xfId="0" applyFont="1" applyAlignment="1">
      <alignment wrapText="1"/>
    </xf>
    <xf numFmtId="0" fontId="50" fillId="0" borderId="7" xfId="0" applyFont="1" applyBorder="1" applyAlignment="1">
      <alignment wrapText="1"/>
    </xf>
    <xf numFmtId="1" fontId="47" fillId="0" borderId="7" xfId="5" applyNumberFormat="1" applyBorder="1" applyAlignment="1">
      <alignment horizontal="center" vertical="center"/>
    </xf>
    <xf numFmtId="0" fontId="37" fillId="0" borderId="1" xfId="25" applyFont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9" fontId="5" fillId="2" borderId="2" xfId="0" applyNumberFormat="1" applyFont="1" applyFill="1" applyBorder="1" applyAlignment="1">
      <alignment horizontal="center" vertical="center" wrapText="1"/>
    </xf>
    <xf numFmtId="179" fontId="5" fillId="2" borderId="6" xfId="0" applyNumberFormat="1" applyFont="1" applyFill="1" applyBorder="1" applyAlignment="1">
      <alignment horizontal="center" vertical="center" wrapText="1"/>
    </xf>
    <xf numFmtId="10" fontId="2" fillId="0" borderId="7" xfId="0" applyNumberFormat="1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95" fontId="3" fillId="6" borderId="7" xfId="0" applyNumberFormat="1" applyFont="1" applyFill="1" applyBorder="1" applyAlignment="1">
      <alignment vertical="center"/>
    </xf>
  </cellXfs>
  <cellStyles count="29">
    <cellStyle name="Currency 2 2 2" xfId="3"/>
    <cellStyle name="Normal 1 2" xfId="4"/>
    <cellStyle name="Normal 2" xfId="5"/>
    <cellStyle name="Normal 2 18 2" xfId="6"/>
    <cellStyle name="Normal 3" xfId="7"/>
    <cellStyle name="Normal 3 2 15" xfId="8"/>
    <cellStyle name="Normal 35" xfId="9"/>
    <cellStyle name="Normal 52" xfId="10"/>
    <cellStyle name="Normal_West End Quote Sheet for Fred Meyer20090804-Hellen" xfId="28"/>
    <cellStyle name="Percent 17" xfId="11"/>
    <cellStyle name="Percent 2" xfId="12"/>
    <cellStyle name="Percent 2 2 2" xfId="13"/>
    <cellStyle name="Style 1" xfId="14"/>
    <cellStyle name="百分比" xfId="2" builtinId="5"/>
    <cellStyle name="百分比 2" xfId="15"/>
    <cellStyle name="百分比 2 2" xfId="16"/>
    <cellStyle name="百分比 3" xfId="17"/>
    <cellStyle name="百分比 5" xfId="18"/>
    <cellStyle name="常规" xfId="0" builtinId="0"/>
    <cellStyle name="常规 18" xfId="19"/>
    <cellStyle name="常规 2" xfId="20"/>
    <cellStyle name="常规 3" xfId="21"/>
    <cellStyle name="货币 2" xfId="22"/>
    <cellStyle name="货币 3" xfId="23"/>
    <cellStyle name="千位分隔" xfId="1" builtinId="3"/>
    <cellStyle name="千位分隔 4" xfId="24"/>
    <cellStyle name="样式 1 2" xfId="25"/>
    <cellStyle name="样式 1 2 2" xfId="26"/>
    <cellStyle name="样式 1 5" xfId="27"/>
  </cellStyles>
  <dxfs count="0"/>
  <tableStyles count="0" defaultTableStyle="TableStyleMedium2" defaultPivotStyle="PivotStyleLight16"/>
  <colors>
    <mruColors>
      <color rgb="FFE4BEFE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3</xdr:row>
      <xdr:rowOff>628650</xdr:rowOff>
    </xdr:from>
    <xdr:to>
      <xdr:col>0</xdr:col>
      <xdr:colOff>1382395</xdr:colOff>
      <xdr:row>4</xdr:row>
      <xdr:rowOff>675005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1866900"/>
          <a:ext cx="1372870" cy="1354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5</xdr:row>
      <xdr:rowOff>560705</xdr:rowOff>
    </xdr:from>
    <xdr:to>
      <xdr:col>0</xdr:col>
      <xdr:colOff>1328420</xdr:colOff>
      <xdr:row>6</xdr:row>
      <xdr:rowOff>650240</xdr:rowOff>
    </xdr:to>
    <xdr:pic>
      <xdr:nvPicPr>
        <xdr:cNvPr id="3" name="图片 1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173855"/>
          <a:ext cx="1318895" cy="12960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ichardxu\Downloads\Minimum%20Cos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englhh/Desktop/AMFBA2026%20Spring%20Mini%20Floor%20Cushions%20for%20Classroom%20&#26641;&#26729;&#27454;_202601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or"/>
      <sheetName val="Formulas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History Email"/>
    </sheetNames>
    <sheetDataSet>
      <sheetData sheetId="0"/>
      <sheetData sheetId="1">
        <row r="16">
          <cell r="B16">
            <v>0.75</v>
          </cell>
        </row>
        <row r="17">
          <cell r="B17">
            <v>0.25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P19"/>
  <sheetViews>
    <sheetView workbookViewId="0">
      <selection activeCell="F5" sqref="F5"/>
    </sheetView>
  </sheetViews>
  <sheetFormatPr defaultColWidth="9" defaultRowHeight="15"/>
  <cols>
    <col min="1" max="1" width="18.7109375" customWidth="1"/>
    <col min="2" max="2" width="25.85546875" customWidth="1"/>
    <col min="3" max="3" width="21.140625" customWidth="1"/>
    <col min="4" max="4" width="34.42578125" customWidth="1"/>
    <col min="5" max="5" width="27.85546875" customWidth="1"/>
    <col min="6" max="6" width="19.42578125" customWidth="1"/>
    <col min="7" max="7" width="20.5703125" customWidth="1"/>
    <col min="8" max="8" width="14.5703125" customWidth="1"/>
    <col min="9" max="9" width="9.140625" style="109"/>
  </cols>
  <sheetData>
    <row r="2" spans="1:224" s="173" customFormat="1" ht="32.25" customHeight="1">
      <c r="A2" s="230" t="s">
        <v>0</v>
      </c>
      <c r="B2" s="230"/>
      <c r="C2" s="230"/>
      <c r="D2" s="230"/>
      <c r="E2" s="230"/>
      <c r="F2" s="230"/>
      <c r="G2" s="230"/>
      <c r="H2" s="230"/>
      <c r="I2" s="174"/>
      <c r="O2" s="176"/>
      <c r="R2" s="173" t="s">
        <v>1</v>
      </c>
      <c r="W2" s="177"/>
      <c r="Y2" s="178"/>
      <c r="Z2" s="178"/>
      <c r="AA2" s="178"/>
      <c r="HF2" s="179"/>
    </row>
    <row r="3" spans="1:224" s="174" customFormat="1" ht="43.5" customHeight="1">
      <c r="A3" s="211" t="s">
        <v>2</v>
      </c>
      <c r="B3" s="212" t="s">
        <v>3</v>
      </c>
      <c r="C3" s="213" t="s">
        <v>4</v>
      </c>
      <c r="D3" s="214" t="str">
        <f>_xlfn.TEXTJOIN(" ",TRUE,B5,D5,D6,B6,D4,D7)</f>
        <v>Amazon Degrees of Comfort  DOC Mini Floor Cushions for Classroom CUSHION/POUF</v>
      </c>
      <c r="E3" s="215" t="s">
        <v>5</v>
      </c>
      <c r="F3" s="209" t="s">
        <v>6</v>
      </c>
      <c r="G3" s="215" t="s">
        <v>7</v>
      </c>
      <c r="H3" s="209" t="s">
        <v>8</v>
      </c>
      <c r="O3" s="180"/>
      <c r="S3" s="181"/>
      <c r="T3" s="181"/>
      <c r="U3" s="181"/>
      <c r="W3" s="182"/>
      <c r="X3" s="183"/>
      <c r="Y3" s="184"/>
      <c r="Z3" s="184"/>
      <c r="AA3" s="184"/>
      <c r="GX3" s="185"/>
      <c r="HB3" s="186" t="s">
        <v>9</v>
      </c>
      <c r="HC3" s="186" t="s">
        <v>10</v>
      </c>
      <c r="HD3" s="186" t="s">
        <v>11</v>
      </c>
      <c r="HE3" s="186" t="s">
        <v>12</v>
      </c>
      <c r="HF3" s="186"/>
      <c r="HG3" s="186" t="s">
        <v>13</v>
      </c>
      <c r="HH3" s="186" t="s">
        <v>14</v>
      </c>
      <c r="HI3" s="186" t="s">
        <v>15</v>
      </c>
      <c r="HJ3" s="186" t="s">
        <v>16</v>
      </c>
      <c r="HK3" s="186"/>
      <c r="HL3" s="186"/>
      <c r="HM3" s="186"/>
      <c r="HN3" s="186"/>
      <c r="HO3" s="186"/>
      <c r="HP3" s="186"/>
    </row>
    <row r="4" spans="1:224" s="174" customFormat="1" ht="39" customHeight="1">
      <c r="A4" s="216" t="s">
        <v>17</v>
      </c>
      <c r="B4" s="212" t="s">
        <v>18</v>
      </c>
      <c r="C4" s="217" t="s">
        <v>19</v>
      </c>
      <c r="D4" s="212" t="s">
        <v>20</v>
      </c>
      <c r="E4" s="215" t="s">
        <v>21</v>
      </c>
      <c r="F4" s="209" t="s">
        <v>22</v>
      </c>
      <c r="G4" s="215" t="s">
        <v>23</v>
      </c>
      <c r="H4" s="209" t="s">
        <v>8</v>
      </c>
      <c r="O4" s="180"/>
      <c r="S4" s="181"/>
      <c r="T4" s="181"/>
      <c r="U4" s="181"/>
      <c r="W4" s="182"/>
      <c r="X4" s="183"/>
      <c r="Y4" s="184"/>
      <c r="Z4" s="184"/>
      <c r="AA4" s="184"/>
      <c r="GX4" s="185"/>
      <c r="HB4" s="187" t="s">
        <v>24</v>
      </c>
      <c r="HC4" s="187" t="s">
        <v>6</v>
      </c>
      <c r="HD4" s="186" t="s">
        <v>25</v>
      </c>
      <c r="HE4" s="186" t="s">
        <v>26</v>
      </c>
      <c r="HF4" s="186" t="s">
        <v>27</v>
      </c>
      <c r="HG4" s="186"/>
      <c r="HH4" s="187"/>
      <c r="HI4" s="186"/>
      <c r="HJ4" s="186"/>
      <c r="HK4" s="186"/>
      <c r="HL4" s="186"/>
      <c r="HM4" s="186"/>
      <c r="HN4" s="186"/>
      <c r="HO4" s="186"/>
      <c r="HP4" s="186"/>
    </row>
    <row r="5" spans="1:224" s="175" customFormat="1" ht="15" customHeight="1">
      <c r="A5" s="218" t="s">
        <v>28</v>
      </c>
      <c r="B5" s="219" t="s">
        <v>29</v>
      </c>
      <c r="C5" s="220" t="s">
        <v>30</v>
      </c>
      <c r="D5" s="219"/>
      <c r="E5" s="221" t="s">
        <v>31</v>
      </c>
      <c r="F5" s="210" t="s">
        <v>32</v>
      </c>
      <c r="G5" s="221" t="s">
        <v>33</v>
      </c>
      <c r="H5" s="210" t="s">
        <v>34</v>
      </c>
      <c r="O5" s="188"/>
      <c r="S5" s="189"/>
      <c r="T5" s="189"/>
      <c r="U5" s="181"/>
      <c r="W5" s="190"/>
      <c r="X5" s="191"/>
      <c r="Y5" s="192"/>
      <c r="Z5" s="192"/>
      <c r="AA5" s="192"/>
      <c r="GX5" s="193"/>
      <c r="HB5" s="194"/>
      <c r="HC5" s="194"/>
      <c r="HD5" s="195"/>
      <c r="HE5" s="195"/>
      <c r="HF5" s="195"/>
      <c r="HG5" s="195"/>
      <c r="HH5" s="194"/>
      <c r="HI5" s="195"/>
      <c r="HJ5" s="195"/>
      <c r="HK5" s="195"/>
      <c r="HL5" s="195"/>
      <c r="HM5" s="195"/>
      <c r="HN5" s="195"/>
      <c r="HO5" s="195"/>
      <c r="HP5" s="195"/>
    </row>
    <row r="6" spans="1:224" s="175" customFormat="1" ht="15" customHeight="1">
      <c r="A6" s="218" t="s">
        <v>35</v>
      </c>
      <c r="B6" s="219" t="s">
        <v>36</v>
      </c>
      <c r="C6" s="220" t="s">
        <v>37</v>
      </c>
      <c r="D6" s="219"/>
      <c r="E6" s="221" t="s">
        <v>38</v>
      </c>
      <c r="F6" s="210"/>
      <c r="G6" s="221" t="s">
        <v>39</v>
      </c>
      <c r="H6" s="210" t="s">
        <v>40</v>
      </c>
      <c r="O6" s="188"/>
      <c r="S6" s="191"/>
      <c r="T6" s="191"/>
      <c r="U6" s="191"/>
      <c r="V6" s="191"/>
      <c r="W6" s="196"/>
      <c r="X6" s="197"/>
      <c r="Y6" s="192"/>
      <c r="Z6" s="192"/>
      <c r="AA6" s="192"/>
      <c r="GT6" s="198"/>
      <c r="GU6" s="198"/>
      <c r="GV6" s="198"/>
      <c r="GW6" s="198"/>
      <c r="GX6" s="199"/>
      <c r="GY6" s="198"/>
      <c r="GZ6" s="198"/>
      <c r="HB6" s="200" t="s">
        <v>41</v>
      </c>
      <c r="HC6" s="200" t="s">
        <v>42</v>
      </c>
      <c r="HD6" s="201" t="s">
        <v>22</v>
      </c>
      <c r="HE6" s="200" t="s">
        <v>43</v>
      </c>
      <c r="HF6" s="202"/>
      <c r="HG6" s="194"/>
      <c r="HH6" s="194"/>
      <c r="HI6" s="195"/>
      <c r="HJ6" s="195"/>
      <c r="HK6" s="195"/>
      <c r="HL6" s="195"/>
      <c r="HM6" s="195"/>
      <c r="HN6" s="195"/>
      <c r="HO6" s="195"/>
      <c r="HP6" s="195"/>
    </row>
    <row r="7" spans="1:224" s="175" customFormat="1" ht="15" customHeight="1">
      <c r="A7" s="222" t="s">
        <v>44</v>
      </c>
      <c r="B7" s="219"/>
      <c r="C7" s="203" t="s">
        <v>45</v>
      </c>
      <c r="D7" s="210" t="s">
        <v>46</v>
      </c>
      <c r="E7" s="221" t="s">
        <v>47</v>
      </c>
      <c r="F7" s="210" t="s">
        <v>48</v>
      </c>
      <c r="G7" s="221" t="s">
        <v>49</v>
      </c>
      <c r="H7" s="210"/>
      <c r="O7" s="188"/>
      <c r="S7" s="189"/>
      <c r="T7" s="189"/>
      <c r="U7" s="181"/>
      <c r="W7" s="190"/>
      <c r="X7" s="183"/>
      <c r="Y7" s="192"/>
      <c r="Z7" s="192"/>
      <c r="AA7" s="192"/>
      <c r="GT7" s="204"/>
      <c r="GU7" s="204"/>
      <c r="GV7" s="205"/>
      <c r="GW7" s="204"/>
      <c r="GX7" s="199"/>
      <c r="GY7" s="198"/>
      <c r="GZ7" s="198"/>
      <c r="HB7" s="194" t="s">
        <v>32</v>
      </c>
      <c r="HC7" s="194" t="s">
        <v>50</v>
      </c>
      <c r="HD7" s="202" t="s">
        <v>51</v>
      </c>
      <c r="HE7" s="206" t="s">
        <v>52</v>
      </c>
      <c r="HF7" s="206" t="s">
        <v>53</v>
      </c>
      <c r="HG7" s="194" t="s">
        <v>54</v>
      </c>
      <c r="HH7" s="194" t="s">
        <v>55</v>
      </c>
      <c r="HI7" s="195" t="s">
        <v>56</v>
      </c>
      <c r="HJ7" s="195"/>
      <c r="HK7" s="195"/>
      <c r="HL7" s="195"/>
      <c r="HM7" s="195"/>
      <c r="HN7" s="195"/>
      <c r="HO7" s="195"/>
      <c r="HP7" s="195"/>
    </row>
    <row r="8" spans="1:224" s="175" customFormat="1" ht="15" customHeight="1">
      <c r="A8" s="222" t="s">
        <v>57</v>
      </c>
      <c r="B8" s="223"/>
      <c r="C8" s="207" t="s">
        <v>58</v>
      </c>
      <c r="D8" s="224"/>
      <c r="E8" s="221" t="s">
        <v>59</v>
      </c>
      <c r="F8" s="210" t="s">
        <v>60</v>
      </c>
      <c r="G8" s="222" t="s">
        <v>61</v>
      </c>
      <c r="H8" s="219" t="s">
        <v>40</v>
      </c>
      <c r="O8" s="188"/>
      <c r="S8" s="189"/>
      <c r="T8" s="189"/>
      <c r="U8" s="181"/>
      <c r="W8" s="190"/>
      <c r="X8" s="183"/>
      <c r="Y8" s="192"/>
      <c r="Z8" s="192"/>
      <c r="AA8" s="192"/>
      <c r="GT8" s="204"/>
      <c r="GU8" s="204"/>
      <c r="GV8" s="205"/>
      <c r="GW8" s="204"/>
      <c r="GX8" s="199"/>
      <c r="GY8" s="198"/>
      <c r="GZ8" s="198"/>
      <c r="HB8" s="194"/>
      <c r="HC8" s="194"/>
      <c r="HD8" s="202"/>
      <c r="HE8" s="206"/>
      <c r="HF8" s="206"/>
      <c r="HG8" s="194"/>
      <c r="HH8" s="194"/>
      <c r="HI8" s="195"/>
      <c r="HJ8" s="195"/>
      <c r="HK8" s="195"/>
      <c r="HL8" s="195"/>
      <c r="HM8" s="195"/>
      <c r="HN8" s="195"/>
      <c r="HO8" s="195"/>
      <c r="HP8" s="195"/>
    </row>
    <row r="9" spans="1:224" s="109" customFormat="1">
      <c r="A9" s="225"/>
      <c r="B9" s="225"/>
      <c r="C9" s="207" t="s">
        <v>62</v>
      </c>
      <c r="D9" s="224"/>
      <c r="E9" s="222" t="s">
        <v>63</v>
      </c>
      <c r="F9" s="219"/>
      <c r="G9" s="225"/>
      <c r="H9" s="225"/>
    </row>
    <row r="10" spans="1:224" s="109" customFormat="1">
      <c r="A10" s="225"/>
      <c r="B10" s="225"/>
      <c r="C10" s="222" t="s">
        <v>64</v>
      </c>
      <c r="D10" s="226"/>
      <c r="E10" s="222" t="s">
        <v>65</v>
      </c>
      <c r="F10" s="223"/>
      <c r="G10" s="225"/>
      <c r="H10" s="225"/>
    </row>
    <row r="11" spans="1:224" s="109" customFormat="1" ht="26.25">
      <c r="A11" s="225"/>
      <c r="B11" s="225"/>
      <c r="C11" s="222" t="s">
        <v>66</v>
      </c>
      <c r="D11" s="219" t="s">
        <v>67</v>
      </c>
      <c r="E11" s="222" t="s">
        <v>68</v>
      </c>
      <c r="F11" s="223" t="s">
        <v>69</v>
      </c>
      <c r="G11" s="225"/>
      <c r="H11" s="225"/>
    </row>
    <row r="12" spans="1:224" s="109" customFormat="1">
      <c r="A12" s="227"/>
      <c r="B12" s="227"/>
      <c r="C12" s="222" t="s">
        <v>70</v>
      </c>
      <c r="D12" s="228" t="s">
        <v>71</v>
      </c>
      <c r="E12" s="227"/>
      <c r="F12" s="227"/>
      <c r="G12" s="227"/>
      <c r="H12" s="227"/>
    </row>
    <row r="13" spans="1:224">
      <c r="D13" s="208"/>
    </row>
    <row r="14" spans="1:224">
      <c r="A14" t="s">
        <v>57</v>
      </c>
    </row>
    <row r="15" spans="1:224">
      <c r="A15" t="s">
        <v>72</v>
      </c>
      <c r="D15" s="208"/>
    </row>
    <row r="16" spans="1:224">
      <c r="A16" t="s">
        <v>73</v>
      </c>
    </row>
    <row r="17" spans="1:1">
      <c r="A17" t="s">
        <v>74</v>
      </c>
    </row>
    <row r="18" spans="1:1">
      <c r="A18" t="s">
        <v>75</v>
      </c>
    </row>
    <row r="19" spans="1:1">
      <c r="A19" t="s">
        <v>76</v>
      </c>
    </row>
  </sheetData>
  <protectedRanges>
    <protectedRange password="F78C" sqref="HB4:HC8 HH4:HH8 HD6:HG8 GT6:GZ8" name="区域1_1"/>
  </protectedRanges>
  <mergeCells count="1">
    <mergeCell ref="A2:H2"/>
  </mergeCells>
  <phoneticPr fontId="48" type="noConversion"/>
  <dataValidations count="1">
    <dataValidation type="list" allowBlank="1" showInputMessage="1" showErrorMessage="1" sqref="IJ4:IJ5 IJ7:IJ8 IL3:IL8">
      <formula1>#REF!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ValueSelect!$I$2:$I$3</xm:f>
          </x14:formula1>
          <xm:sqref>F3</xm:sqref>
        </x14:dataValidation>
        <x14:dataValidation type="list" allowBlank="1" showInputMessage="1" showErrorMessage="1">
          <x14:formula1>
            <xm:f>ValueSelect!$J$2:$J$10</xm:f>
          </x14:formula1>
          <xm:sqref>F4</xm:sqref>
        </x14:dataValidation>
        <x14:dataValidation type="list" allowBlank="1" showInputMessage="1" showErrorMessage="1">
          <x14:formula1>
            <xm:f>ValueSelect!$P$2:$P$3</xm:f>
          </x14:formula1>
          <xm:sqref>H5</xm:sqref>
        </x14:dataValidation>
        <x14:dataValidation type="list" allowBlank="1" showInputMessage="1" showErrorMessage="1">
          <x14:formula1>
            <xm:f>ValueSelect!$A$2:$A$296</xm:f>
          </x14:formula1>
          <xm:sqref>B6</xm:sqref>
        </x14:dataValidation>
        <x14:dataValidation type="list" allowBlank="1" showInputMessage="1" showErrorMessage="1">
          <x14:formula1>
            <xm:f>ValueSelect!$F$2:$F$7</xm:f>
          </x14:formula1>
          <xm:sqref>D6</xm:sqref>
        </x14:dataValidation>
        <x14:dataValidation type="list" allowBlank="1" showInputMessage="1" showErrorMessage="1">
          <x14:formula1>
            <xm:f>ValueSelect!$Q$2:$Q$3</xm:f>
          </x14:formula1>
          <xm:sqref>H6</xm:sqref>
        </x14:dataValidation>
        <x14:dataValidation type="list" allowBlank="1" showInputMessage="1" showErrorMessage="1">
          <x14:formula1>
            <xm:f>ValueSelect!$B$2:$B$26</xm:f>
          </x14:formula1>
          <xm:sqref>B7</xm:sqref>
        </x14:dataValidation>
        <x14:dataValidation type="list" allowBlank="1" showInputMessage="1" showErrorMessage="1">
          <x14:formula1>
            <xm:f>ValueSelect!$C$2:$C$31</xm:f>
          </x14:formula1>
          <xm:sqref>D7</xm:sqref>
        </x14:dataValidation>
        <x14:dataValidation type="list" allowBlank="1" showInputMessage="1" showErrorMessage="1">
          <x14:formula1>
            <xm:f>ValueSelect!$L$2:$L$5</xm:f>
          </x14:formula1>
          <xm:sqref>F7</xm:sqref>
        </x14:dataValidation>
        <x14:dataValidation type="list" allowBlank="1" showInputMessage="1" showErrorMessage="1">
          <x14:formula1>
            <xm:f>ValueSelect!$T$2:$T$3</xm:f>
          </x14:formula1>
          <xm:sqref>H8</xm:sqref>
        </x14:dataValidation>
        <x14:dataValidation type="list" allowBlank="1" showInputMessage="1" showErrorMessage="1">
          <x14:formula1>
            <xm:f>ValueSelect!$O$2:$O$7</xm:f>
          </x14:formula1>
          <xm:sqref>F11</xm:sqref>
        </x14:dataValidation>
        <x14:dataValidation type="list" allowBlank="1" showInputMessage="1" showErrorMessage="1">
          <x14:formula1>
            <xm:f>ValueSelect!$G$2:$G$3</xm:f>
          </x14:formula1>
          <xm:sqref>D12</xm:sqref>
        </x14:dataValidation>
        <x14:dataValidation type="list" allowBlank="1" showInputMessage="1" showErrorMessage="1">
          <x14:formula1>
            <xm:f>ValueSelect!$K$2:$K$9</xm:f>
          </x14:formula1>
          <xm:sqref>F5:F6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X3"/>
  <sheetViews>
    <sheetView tabSelected="1" topLeftCell="AR1" zoomScale="90" zoomScaleNormal="90" workbookViewId="0">
      <selection activeCell="BS14" sqref="BS14"/>
    </sheetView>
  </sheetViews>
  <sheetFormatPr defaultColWidth="9.140625" defaultRowHeight="15"/>
  <cols>
    <col min="1" max="1" width="10.140625" style="99" customWidth="1"/>
    <col min="2" max="2" width="10" style="100" customWidth="1"/>
    <col min="3" max="3" width="12.42578125" style="100" customWidth="1"/>
    <col min="4" max="4" width="12.85546875" style="100" customWidth="1"/>
    <col min="5" max="5" width="9.140625" style="100" customWidth="1"/>
    <col min="6" max="6" width="15.5703125" style="100" customWidth="1"/>
    <col min="7" max="7" width="9.140625" style="100" customWidth="1"/>
    <col min="8" max="8" width="18" style="100" customWidth="1"/>
    <col min="9" max="9" width="19.28515625" style="100" customWidth="1"/>
    <col min="10" max="10" width="33.140625" style="100" customWidth="1"/>
    <col min="11" max="11" width="12.42578125" style="100" customWidth="1"/>
    <col min="12" max="12" width="18" style="100" customWidth="1"/>
    <col min="13" max="13" width="9.5703125" style="100" customWidth="1"/>
    <col min="14" max="14" width="8.85546875" style="100" customWidth="1"/>
    <col min="15" max="15" width="13.85546875" style="100" bestFit="1" customWidth="1"/>
    <col min="16" max="16" width="13.85546875" style="100" customWidth="1"/>
    <col min="17" max="17" width="8.85546875" style="101" customWidth="1"/>
    <col min="18" max="18" width="9.42578125" style="100" customWidth="1"/>
    <col min="19" max="19" width="11.7109375" style="102" customWidth="1"/>
    <col min="20" max="20" width="8.140625" style="103" customWidth="1"/>
    <col min="21" max="21" width="8.7109375" style="104" customWidth="1"/>
    <col min="22" max="22" width="8.7109375" style="105" customWidth="1"/>
    <col min="23" max="23" width="12.42578125" style="103" customWidth="1"/>
    <col min="24" max="24" width="9.85546875" style="103" customWidth="1"/>
    <col min="25" max="25" width="9" style="103" customWidth="1"/>
    <col min="26" max="26" width="6.28515625" style="102" customWidth="1"/>
    <col min="27" max="27" width="7.5703125" style="105" customWidth="1"/>
    <col min="28" max="28" width="6.5703125" style="102" customWidth="1"/>
    <col min="29" max="29" width="7.85546875" style="100" customWidth="1"/>
    <col min="30" max="30" width="9" style="101" customWidth="1"/>
    <col min="31" max="31" width="14.140625" style="100" customWidth="1"/>
    <col min="32" max="32" width="8.42578125" style="106" customWidth="1"/>
    <col min="33" max="33" width="10.7109375" style="101" customWidth="1"/>
    <col min="34" max="34" width="11.28515625" style="101" customWidth="1"/>
    <col min="35" max="35" width="11.5703125" style="101" customWidth="1"/>
    <col min="36" max="36" width="8.28515625" style="101" customWidth="1"/>
    <col min="37" max="37" width="11.5703125" style="106" customWidth="1"/>
    <col min="38" max="38" width="9" style="103" customWidth="1"/>
    <col min="39" max="39" width="9" style="102" customWidth="1"/>
    <col min="40" max="40" width="9" style="105" customWidth="1"/>
    <col min="41" max="41" width="9" style="102" customWidth="1"/>
    <col min="42" max="42" width="9" style="105" customWidth="1"/>
    <col min="43" max="43" width="9" style="102" customWidth="1"/>
    <col min="44" max="44" width="10" style="107" customWidth="1"/>
    <col min="45" max="45" width="10" style="106" customWidth="1"/>
    <col min="46" max="46" width="9" style="102" customWidth="1"/>
    <col min="47" max="47" width="11.140625" style="102" customWidth="1"/>
    <col min="48" max="48" width="7.140625" style="101" customWidth="1"/>
    <col min="49" max="49" width="6.85546875" style="106" customWidth="1"/>
    <col min="50" max="50" width="9.140625" style="101" customWidth="1"/>
    <col min="51" max="51" width="8.140625" style="106" customWidth="1"/>
    <col min="52" max="52" width="6.85546875" style="101" customWidth="1"/>
    <col min="53" max="53" width="10.5703125" style="101" customWidth="1"/>
    <col min="54" max="54" width="9.85546875" style="101" customWidth="1"/>
    <col min="55" max="55" width="8" style="101" customWidth="1"/>
    <col min="56" max="56" width="9.5703125" style="101" customWidth="1"/>
    <col min="57" max="57" width="10.85546875" style="101" customWidth="1"/>
    <col min="58" max="58" width="8.140625" style="106" customWidth="1"/>
    <col min="59" max="61" width="8.140625" style="101" customWidth="1"/>
    <col min="62" max="62" width="7.5703125" style="101" customWidth="1"/>
    <col min="63" max="63" width="8.140625" style="106" customWidth="1"/>
    <col min="64" max="64" width="7.5703125" style="101" customWidth="1"/>
    <col min="65" max="65" width="8.140625" style="106" customWidth="1"/>
    <col min="66" max="66" width="7.5703125" style="101" customWidth="1"/>
    <col min="67" max="68" width="8.140625" style="106" customWidth="1"/>
    <col min="69" max="69" width="14.7109375" style="106" customWidth="1"/>
    <col min="70" max="70" width="8.140625" style="106" customWidth="1"/>
    <col min="71" max="72" width="11.28515625" style="108" customWidth="1"/>
    <col min="73" max="75" width="10.42578125" style="101" customWidth="1"/>
    <col min="76" max="76" width="10.42578125" style="106" customWidth="1"/>
    <col min="77" max="16384" width="9.140625" style="100"/>
  </cols>
  <sheetData>
    <row r="1" spans="1:76" ht="57.95" customHeight="1">
      <c r="A1" s="110" t="s">
        <v>77</v>
      </c>
      <c r="B1" s="110" t="s">
        <v>78</v>
      </c>
      <c r="C1" s="111" t="s">
        <v>79</v>
      </c>
      <c r="D1" s="112" t="s">
        <v>35</v>
      </c>
      <c r="E1" s="112" t="s">
        <v>44</v>
      </c>
      <c r="F1" s="113" t="s">
        <v>80</v>
      </c>
      <c r="G1" s="111" t="s">
        <v>81</v>
      </c>
      <c r="H1" s="114" t="s">
        <v>82</v>
      </c>
      <c r="I1" s="114" t="s">
        <v>83</v>
      </c>
      <c r="J1" s="114" t="s">
        <v>84</v>
      </c>
      <c r="K1" s="114" t="s">
        <v>85</v>
      </c>
      <c r="L1" s="114" t="s">
        <v>86</v>
      </c>
      <c r="M1" s="114" t="s">
        <v>87</v>
      </c>
      <c r="N1" s="111" t="s">
        <v>88</v>
      </c>
      <c r="O1" s="111" t="s">
        <v>89</v>
      </c>
      <c r="P1" s="111" t="s">
        <v>90</v>
      </c>
      <c r="Q1" s="111" t="s">
        <v>91</v>
      </c>
      <c r="R1" s="114" t="s">
        <v>92</v>
      </c>
      <c r="S1" s="115" t="s">
        <v>93</v>
      </c>
      <c r="T1" s="116" t="s">
        <v>94</v>
      </c>
      <c r="U1" s="117" t="s">
        <v>95</v>
      </c>
      <c r="V1" s="118" t="s">
        <v>96</v>
      </c>
      <c r="W1" s="119" t="s">
        <v>97</v>
      </c>
      <c r="X1" s="120" t="s">
        <v>98</v>
      </c>
      <c r="Y1" s="121" t="s">
        <v>99</v>
      </c>
      <c r="Z1" s="121" t="s">
        <v>100</v>
      </c>
      <c r="AA1" s="121" t="s">
        <v>101</v>
      </c>
      <c r="AB1" s="115" t="s">
        <v>102</v>
      </c>
      <c r="AC1" s="122" t="s">
        <v>103</v>
      </c>
      <c r="AD1" s="123" t="s">
        <v>104</v>
      </c>
      <c r="AE1" s="124" t="s">
        <v>105</v>
      </c>
      <c r="AF1" s="110" t="s">
        <v>106</v>
      </c>
      <c r="AG1" s="125" t="s">
        <v>107</v>
      </c>
      <c r="AH1" s="110" t="s">
        <v>108</v>
      </c>
      <c r="AI1" s="126" t="s">
        <v>109</v>
      </c>
      <c r="AJ1" s="127" t="s">
        <v>110</v>
      </c>
      <c r="AK1" s="125" t="s">
        <v>111</v>
      </c>
      <c r="AL1" s="128" t="s">
        <v>112</v>
      </c>
      <c r="AM1" s="128" t="s">
        <v>113</v>
      </c>
      <c r="AN1" s="128" t="s">
        <v>114</v>
      </c>
      <c r="AO1" s="129" t="s">
        <v>115</v>
      </c>
      <c r="AP1" s="130" t="s">
        <v>116</v>
      </c>
      <c r="AQ1" s="130" t="s">
        <v>117</v>
      </c>
      <c r="AR1" s="131" t="s">
        <v>118</v>
      </c>
      <c r="AS1" s="132" t="s">
        <v>119</v>
      </c>
      <c r="AT1" s="130" t="s">
        <v>120</v>
      </c>
      <c r="AU1" s="130" t="s">
        <v>121</v>
      </c>
      <c r="AV1" s="133" t="s">
        <v>122</v>
      </c>
      <c r="AW1" s="134" t="s">
        <v>123</v>
      </c>
      <c r="AX1" s="133" t="s">
        <v>124</v>
      </c>
      <c r="AY1" s="134" t="s">
        <v>125</v>
      </c>
      <c r="AZ1" s="135" t="s">
        <v>126</v>
      </c>
      <c r="BA1" s="133" t="s">
        <v>127</v>
      </c>
      <c r="BB1" s="134" t="s">
        <v>128</v>
      </c>
      <c r="BC1" s="134" t="s">
        <v>129</v>
      </c>
      <c r="BD1" s="136" t="s">
        <v>130</v>
      </c>
      <c r="BE1" s="137" t="s">
        <v>131</v>
      </c>
      <c r="BF1" s="137" t="s">
        <v>132</v>
      </c>
      <c r="BG1" s="138" t="s">
        <v>133</v>
      </c>
      <c r="BH1" s="138" t="s">
        <v>134</v>
      </c>
      <c r="BI1" s="137" t="s">
        <v>135</v>
      </c>
      <c r="BJ1" s="139" t="s">
        <v>136</v>
      </c>
      <c r="BK1" s="137" t="s">
        <v>137</v>
      </c>
      <c r="BL1" s="139" t="s">
        <v>138</v>
      </c>
      <c r="BM1" s="137" t="s">
        <v>139</v>
      </c>
      <c r="BN1" s="139" t="s">
        <v>140</v>
      </c>
      <c r="BO1" s="137" t="s">
        <v>141</v>
      </c>
      <c r="BP1" s="137" t="s">
        <v>142</v>
      </c>
      <c r="BQ1" s="140" t="s">
        <v>143</v>
      </c>
      <c r="BR1" s="140" t="s">
        <v>144</v>
      </c>
      <c r="BS1" s="141" t="s">
        <v>145</v>
      </c>
      <c r="BT1" s="141" t="s">
        <v>146</v>
      </c>
      <c r="BU1" s="142" t="s">
        <v>147</v>
      </c>
      <c r="BV1" s="143" t="s">
        <v>148</v>
      </c>
      <c r="BW1" s="141" t="s">
        <v>149</v>
      </c>
      <c r="BX1" s="141" t="s">
        <v>150</v>
      </c>
    </row>
    <row r="2" spans="1:76" s="98" customFormat="1" ht="143.25" customHeight="1">
      <c r="A2" s="144">
        <v>1</v>
      </c>
      <c r="B2" s="145"/>
      <c r="C2" s="145"/>
      <c r="D2" s="145" t="s">
        <v>36</v>
      </c>
      <c r="E2" s="145"/>
      <c r="F2" s="145" t="s">
        <v>46</v>
      </c>
      <c r="G2" s="146"/>
      <c r="H2" s="147" t="s">
        <v>20</v>
      </c>
      <c r="I2" s="147" t="s">
        <v>151</v>
      </c>
      <c r="J2" s="148" t="s">
        <v>745</v>
      </c>
      <c r="K2" s="145" t="s">
        <v>152</v>
      </c>
      <c r="L2" s="149" t="s">
        <v>153</v>
      </c>
      <c r="M2" s="149" t="s">
        <v>154</v>
      </c>
      <c r="N2" s="145"/>
      <c r="O2" s="257" t="s">
        <v>748</v>
      </c>
      <c r="P2" s="145"/>
      <c r="Q2" s="145"/>
      <c r="R2" s="145" t="s">
        <v>155</v>
      </c>
      <c r="S2" s="229">
        <v>688</v>
      </c>
      <c r="T2" s="151">
        <f>W2*0.99</f>
        <v>17.68</v>
      </c>
      <c r="U2" s="152">
        <v>142</v>
      </c>
      <c r="V2" s="153">
        <v>7.95</v>
      </c>
      <c r="W2" s="154">
        <v>17.86</v>
      </c>
      <c r="X2" s="155" t="s">
        <v>156</v>
      </c>
      <c r="Y2" s="156">
        <v>43</v>
      </c>
      <c r="Z2" s="156">
        <v>35</v>
      </c>
      <c r="AA2" s="156">
        <v>60</v>
      </c>
      <c r="AB2" s="150">
        <v>4</v>
      </c>
      <c r="AC2" s="157">
        <f>IF(Y2="","",Y2*Z2*AA2/1000000)</f>
        <v>0.09</v>
      </c>
      <c r="AD2" s="158">
        <v>56</v>
      </c>
      <c r="AE2" s="159">
        <f>IF(AB2="","",AD2/AC2*AB2)</f>
        <v>2489</v>
      </c>
      <c r="AF2" s="160">
        <v>2500</v>
      </c>
      <c r="AG2" s="154">
        <f>IF(ISERROR(AF2/AE2),"",AF2/AE2)</f>
        <v>1</v>
      </c>
      <c r="AH2" s="155" t="s">
        <v>157</v>
      </c>
      <c r="AI2" s="161">
        <v>0.33500000000000002</v>
      </c>
      <c r="AJ2" s="154">
        <f>IF(ISERROR(W2*AI2),"",W2*AI2)</f>
        <v>5.98</v>
      </c>
      <c r="AK2" s="154">
        <f>IF(ISERROR(W2+AG2+AJ2),"",W2+AG2+AJ2)</f>
        <v>24.84</v>
      </c>
      <c r="AL2" s="156">
        <v>16</v>
      </c>
      <c r="AM2" s="156">
        <v>13</v>
      </c>
      <c r="AN2" s="156">
        <v>5.8</v>
      </c>
      <c r="AO2" s="159">
        <f>IF(AM2="","",2*(AM2+AN2))</f>
        <v>38</v>
      </c>
      <c r="AP2" s="162">
        <f>IF(AL2="","",AL2*AM2*AN2/12/12/12)</f>
        <v>0.7</v>
      </c>
      <c r="AQ2" s="162">
        <f>IF(AL2="","",AM2*AN2*AL2/139)</f>
        <v>8.68</v>
      </c>
      <c r="AR2" s="158">
        <v>6.38</v>
      </c>
      <c r="AS2" s="163">
        <v>0.2</v>
      </c>
      <c r="AT2" s="164">
        <f>MAX(AQ2:AR2)*(1+AS2)</f>
        <v>10.42</v>
      </c>
      <c r="AU2" s="165" t="str">
        <f>IF(AND(BD2="Clothing &amp; Accessories",$AT2&lt;=Formulas!B$3,$AL2&lt;=Formulas!C$3,$AM2&lt;=Formulas!D$3,$AN2&lt;=Formulas!E$3),"Standard-size less than 10oz (clothing)",IF(AND(BD2="Clothing &amp; Accessories",$AT2&lt;=Formulas!B$4,$AL2&lt;=Formulas!C$4,$AM2&lt;=Formulas!D$4,$AN2&lt;=Formulas!E$4),"Standard-size small 10-16oz (clothing)",IF(AND(BD2="Clothing &amp; Accessories",$AT2&lt;=Formulas!B$5,$AL2&lt;=Formulas!C$5,$AM2&lt;=Formulas!D$5,$AN2&lt;=Formulas!E$5),"Large standard-size less than 10oz (clothing)",IF(AND(BD2="Clothing &amp; Accessories",$AT2&lt;=Formulas!B$6,$AL2&lt;=Formulas!C$6,$AM2&lt;=Formulas!D$6,$AN2&lt;=Formulas!E$6),"Large standard-size 10-16oz (clothing)",IF(AND(BD2="Clothing &amp; Accessories",$AT2&lt;=Formulas!B$5,$AL2&lt;=Formulas!C$5,$AM2&lt;=Formulas!D$5,$AN2&lt;=Formulas!E$5),"Large standard-size 10-16oz (clothing)",IF(AND(BD2="Clothing &amp; Accessories",$AT2&lt;=Formulas!B$7,$AL2&lt;=Formulas!C$7,$AM2&lt;=Formulas!D$7,$AN2&lt;=Formulas!E$7),"Large standard-size one lb to two lb (clothing)",IF(AND(BD2="Clothing &amp; Accessories",$AT2&lt;=Formulas!B$8,$AL2&lt;=Formulas!C$8,$AM2&lt;=Formulas!D$8,$AN2&lt;=Formulas!E$8),"Large standard-size two lb to three lb (clothing)",IF(AND(BD2="Clothing &amp; Accessories",$AT2&lt;=Formulas!B$9,$AL2&lt;=Formulas!C$9,$AM2&lt;=Formulas!D$9,$AN2&lt;=Formulas!E$9),"Large standard-size over three lb (clothing)",IF(AND($AT2&lt;=Formulas!B$3,$AL2&lt;=Formulas!C$3,$AM2&lt;=Formulas!D$3,$AN2&lt;=Formulas!E$3),"Standard-size less than 10oz",IF(AND($AT2&lt;=Formulas!B$4,$AL2&lt;=Formulas!C$4,$AM2&lt;=Formulas!D$4,$AN2&lt;=Formulas!E$4),"Standard-size small 10-16oz",IF(AND($AT2&lt;=Formulas!B$5,$AL2&lt;=Formulas!C$5,$AM2&lt;=Formulas!D$5,$AN2&lt;=Formulas!E$5),"Large standard-size less than 10oz",IF(AND($AT2&lt;=Formulas!B$6,$AL2&lt;=Formulas!C$6,$AM2&lt;=Formulas!D$6,$AN2&lt;=Formulas!E$6),"Large standard-size 10-16oz",IF(AND($AT2&lt;=Formulas!B$7,$AL2&lt;=Formulas!C$7,$AM2&lt;=Formulas!D$7,$AN2&lt;=Formulas!E$7),"Large standard-size one lb to two lb",IF(AND($AT2&lt;=Formulas!B$8,$AL2&lt;=Formulas!C$8,$AM2&lt;=Formulas!D$8,$AN2&lt;=Formulas!E$8),"Large standard-size two lb to three lb",IF(AND($AT2&lt;=Formulas!B$9,$AL2&lt;=Formulas!C$9,$AM2&lt;=Formulas!D$9,$AN2&lt;=Formulas!E$9),"Large standard-size over three lb",IF(AND($AT2&lt;=Formulas!B$10,$AL2&lt;=Formulas!C$10,$AM2&lt;=Formulas!D$10,($AL2+$AO2)&lt;=Formulas!F$10),"Small oversize",IF(AND($AT2&lt;=Formulas!B$11,$AL2&lt;=Formulas!C$11,($AL2+$AO2)&lt;=Formulas!F$11),"Medium oversize",IF(AND($AT2&lt;=Formulas!B$12,$AL2&lt;=Formulas!C$12,($AL2+$AO2)&lt;=Formulas!F$12),"Large oversize","Special oversize"))))))))))))))))))</f>
        <v>Large standard-size over three lb</v>
      </c>
      <c r="AV2" s="163">
        <v>0.06</v>
      </c>
      <c r="AW2" s="154">
        <f>IF(ISERROR(BU2*AV2),"",BU2*AV2)</f>
        <v>4.83</v>
      </c>
      <c r="AX2" s="163">
        <v>0</v>
      </c>
      <c r="AY2" s="154">
        <f>IF(ISERROR(BU2*AX2),"",BU2*AX2)</f>
        <v>0</v>
      </c>
      <c r="AZ2" s="166">
        <v>0</v>
      </c>
      <c r="BA2" s="163">
        <v>0.02</v>
      </c>
      <c r="BB2" s="154">
        <f>IF(ISERROR(BU2*BA2),"",BU2*BA2)</f>
        <v>1.61</v>
      </c>
      <c r="BC2" s="154">
        <f>IF(ISERROR(AW2+AY2+AZ2+BB2),"",AW2+AY2+AZ2+BB2)</f>
        <v>6.44</v>
      </c>
      <c r="BD2" s="166" t="s">
        <v>158</v>
      </c>
      <c r="BE2" s="167">
        <f>VLOOKUP(BD2,Formulas!$B$23:$F$47,2,0)</f>
        <v>0.15</v>
      </c>
      <c r="BF2" s="154">
        <f>IF(ISERROR(BU2*BE2),"",BU2*BE2)</f>
        <v>12.08</v>
      </c>
      <c r="BG2" s="168">
        <v>14.99</v>
      </c>
      <c r="BH2" s="169">
        <v>1.5</v>
      </c>
      <c r="BI2" s="154">
        <f ca="1">AVERAGE(OFFSET(Formulas!$M$3:$N$3,MATCH($AU2,Formulas!$O$3:$O$20,0)-1,0))*BH2*AP2</f>
        <v>1.65</v>
      </c>
      <c r="BJ2" s="163">
        <v>0.1</v>
      </c>
      <c r="BK2" s="154">
        <f>IF(ISERROR(BU2*BJ2),"",BU2*BJ2)</f>
        <v>8.0500000000000007</v>
      </c>
      <c r="BL2" s="163">
        <v>0.03</v>
      </c>
      <c r="BM2" s="154">
        <f>IF(ISERROR(BU2*BL2),"",BU2*BL2)</f>
        <v>2.42</v>
      </c>
      <c r="BN2" s="163">
        <v>7.4999999999999997E-3</v>
      </c>
      <c r="BO2" s="154">
        <f>IF(ISERROR(BU2*BN2),"",BU2*BN2)</f>
        <v>0.6</v>
      </c>
      <c r="BP2" s="154">
        <f ca="1">IF(ISERROR(BF2+BG2+BI2+BK2+BM2+BO2),"",BF2+BG2+BI2+BK2+BM2+BO2)</f>
        <v>39.79</v>
      </c>
      <c r="BQ2" s="154">
        <f ca="1">IF(ISERROR(BC2+BP2),"",BC2+BP2)</f>
        <v>46.23</v>
      </c>
      <c r="BR2" s="154">
        <f>IF(ISERROR(AK2+AY2),"",AK2+AY2)</f>
        <v>24.84</v>
      </c>
      <c r="BS2" s="170">
        <f ca="1">IF(ISERROR((BT2-BR2)/BT2),"",(BT2-BR2)/BT2)</f>
        <v>0.2752</v>
      </c>
      <c r="BT2" s="154">
        <f ca="1">IF(ISERROR(BU2-AW2-AZ2-BB2-BP2),"",BU2-AW2-AZ2-BB2-BP2)</f>
        <v>34.270000000000003</v>
      </c>
      <c r="BU2" s="162">
        <v>80.5</v>
      </c>
      <c r="BV2" s="166">
        <v>82.99</v>
      </c>
      <c r="BW2" s="154">
        <f ca="1">IF(ISERROR(AK2+BQ2),"",AK2+BQ2)</f>
        <v>71.069999999999993</v>
      </c>
      <c r="BX2" s="167">
        <f ca="1">IF(ISERROR(BQ2/BU2),"",BQ2/BU2-6%)</f>
        <v>0.51429999999999998</v>
      </c>
    </row>
    <row r="3" spans="1:76" s="98" customFormat="1" ht="138" customHeight="1">
      <c r="A3" s="144">
        <v>2</v>
      </c>
      <c r="B3" s="145"/>
      <c r="C3" s="145"/>
      <c r="D3" s="145" t="s">
        <v>36</v>
      </c>
      <c r="E3" s="145"/>
      <c r="F3" s="145" t="s">
        <v>46</v>
      </c>
      <c r="G3" s="146"/>
      <c r="H3" s="145" t="s">
        <v>20</v>
      </c>
      <c r="I3" s="145" t="s">
        <v>151</v>
      </c>
      <c r="J3" s="148" t="s">
        <v>746</v>
      </c>
      <c r="K3" s="145" t="s">
        <v>152</v>
      </c>
      <c r="L3" s="145" t="s">
        <v>159</v>
      </c>
      <c r="M3" s="149" t="s">
        <v>154</v>
      </c>
      <c r="N3" s="145"/>
      <c r="O3" s="257" t="s">
        <v>749</v>
      </c>
      <c r="P3" s="145"/>
      <c r="Q3" s="145"/>
      <c r="R3" s="145" t="s">
        <v>155</v>
      </c>
      <c r="S3" s="229">
        <v>234</v>
      </c>
      <c r="T3" s="151">
        <f>W3*0.99</f>
        <v>23.1</v>
      </c>
      <c r="U3" s="152">
        <v>185.5</v>
      </c>
      <c r="V3" s="153">
        <v>7.95</v>
      </c>
      <c r="W3" s="154">
        <v>23.33</v>
      </c>
      <c r="X3" s="155" t="s">
        <v>156</v>
      </c>
      <c r="Y3" s="156">
        <v>43</v>
      </c>
      <c r="Z3" s="156">
        <v>36</v>
      </c>
      <c r="AA3" s="156">
        <v>53</v>
      </c>
      <c r="AB3" s="150">
        <v>3</v>
      </c>
      <c r="AC3" s="157">
        <f>IF(Y3="","",Y3*Z3*AA3/1000000)</f>
        <v>8.2000000000000003E-2</v>
      </c>
      <c r="AD3" s="158">
        <v>56</v>
      </c>
      <c r="AE3" s="159">
        <f>IF(AB3="","",AD3/AC3*AB3)</f>
        <v>2049</v>
      </c>
      <c r="AF3" s="160">
        <v>2500</v>
      </c>
      <c r="AG3" s="154">
        <f>IF(ISERROR(AF3/AE3),"",AF3/AE3)</f>
        <v>1.22</v>
      </c>
      <c r="AH3" s="155" t="s">
        <v>157</v>
      </c>
      <c r="AI3" s="161">
        <v>0.33500000000000002</v>
      </c>
      <c r="AJ3" s="154">
        <f>IF(ISERROR(W3*AI3),"",W3*AI3)</f>
        <v>7.82</v>
      </c>
      <c r="AK3" s="154">
        <f>IF(ISERROR(W3+AG3+AJ3),"",W3+AG3+AJ3)</f>
        <v>32.369999999999997</v>
      </c>
      <c r="AL3" s="156">
        <v>16</v>
      </c>
      <c r="AM3" s="156">
        <v>13</v>
      </c>
      <c r="AN3" s="156">
        <v>6.8</v>
      </c>
      <c r="AO3" s="159">
        <f>IF(AM3="","",2*(AM3+AN3))</f>
        <v>40</v>
      </c>
      <c r="AP3" s="162">
        <f>IF(AL3="","",AL3*AM3*AN3/12/12/12)</f>
        <v>0.82</v>
      </c>
      <c r="AQ3" s="162">
        <f>IF(AL3="","",AM3*AN3*AL3/139)</f>
        <v>10.18</v>
      </c>
      <c r="AR3" s="158">
        <v>4.63</v>
      </c>
      <c r="AS3" s="163">
        <v>0.2</v>
      </c>
      <c r="AT3" s="164">
        <f>MAX(AQ3:AR3)*(1+AS3)</f>
        <v>12.22</v>
      </c>
      <c r="AU3" s="165" t="str">
        <f>IF(AND(BD3="Clothing &amp; Accessories",$AT3&lt;=Formulas!B$3,$AL3&lt;=Formulas!C$3,$AM3&lt;=Formulas!D$3,$AN3&lt;=Formulas!E$3),"Standard-size less than 10oz (clothing)",IF(AND(BD3="Clothing &amp; Accessories",$AT3&lt;=Formulas!B$4,$AL3&lt;=Formulas!C$4,$AM3&lt;=Formulas!D$4,$AN3&lt;=Formulas!E$4),"Standard-size small 10-16oz (clothing)",IF(AND(BD3="Clothing &amp; Accessories",$AT3&lt;=Formulas!B$5,$AL3&lt;=Formulas!C$5,$AM3&lt;=Formulas!D$5,$AN3&lt;=Formulas!E$5),"Large standard-size less than 10oz (clothing)",IF(AND(BD3="Clothing &amp; Accessories",$AT3&lt;=Formulas!B$6,$AL3&lt;=Formulas!C$6,$AM3&lt;=Formulas!D$6,$AN3&lt;=Formulas!E$6),"Large standard-size 10-16oz (clothing)",IF(AND(BD3="Clothing &amp; Accessories",$AT3&lt;=Formulas!B$5,$AL3&lt;=Formulas!C$5,$AM3&lt;=Formulas!D$5,$AN3&lt;=Formulas!E$5),"Large standard-size 10-16oz (clothing)",IF(AND(BD3="Clothing &amp; Accessories",$AT3&lt;=Formulas!B$7,$AL3&lt;=Formulas!C$7,$AM3&lt;=Formulas!D$7,$AN3&lt;=Formulas!E$7),"Large standard-size one lb to two lb (clothing)",IF(AND(BD3="Clothing &amp; Accessories",$AT3&lt;=Formulas!B$8,$AL3&lt;=Formulas!C$8,$AM3&lt;=Formulas!D$8,$AN3&lt;=Formulas!E$8),"Large standard-size two lb to three lb (clothing)",IF(AND(BD3="Clothing &amp; Accessories",$AT3&lt;=Formulas!B$9,$AL3&lt;=Formulas!C$9,$AM3&lt;=Formulas!D$9,$AN3&lt;=Formulas!E$9),"Large standard-size over three lb (clothing)",IF(AND($AT3&lt;=Formulas!B$3,$AL3&lt;=Formulas!C$3,$AM3&lt;=Formulas!D$3,$AN3&lt;=Formulas!E$3),"Standard-size less than 10oz",IF(AND($AT3&lt;=Formulas!B$4,$AL3&lt;=Formulas!C$4,$AM3&lt;=Formulas!D$4,$AN3&lt;=Formulas!E$4),"Standard-size small 10-16oz",IF(AND($AT3&lt;=Formulas!B$5,$AL3&lt;=Formulas!C$5,$AM3&lt;=Formulas!D$5,$AN3&lt;=Formulas!E$5),"Large standard-size less than 10oz",IF(AND($AT3&lt;=Formulas!B$6,$AL3&lt;=Formulas!C$6,$AM3&lt;=Formulas!D$6,$AN3&lt;=Formulas!E$6),"Large standard-size 10-16oz",IF(AND($AT3&lt;=Formulas!B$7,$AL3&lt;=Formulas!C$7,$AM3&lt;=Formulas!D$7,$AN3&lt;=Formulas!E$7),"Large standard-size one lb to two lb",IF(AND($AT3&lt;=Formulas!B$8,$AL3&lt;=Formulas!C$8,$AM3&lt;=Formulas!D$8,$AN3&lt;=Formulas!E$8),"Large standard-size two lb to three lb",IF(AND($AT3&lt;=Formulas!B$9,$AL3&lt;=Formulas!C$9,$AM3&lt;=Formulas!D$9,$AN3&lt;=Formulas!E$9),"Large standard-size over three lb",IF(AND($AT3&lt;=Formulas!B$10,$AL3&lt;=Formulas!C$10,$AM3&lt;=Formulas!D$10,($AL3+$AO3)&lt;=Formulas!F$10),"Small oversize",IF(AND($AT3&lt;=Formulas!B$11,$AL3&lt;=Formulas!C$11,($AL3+$AO3)&lt;=Formulas!F$11),"Medium oversize",IF(AND($AT3&lt;=Formulas!B$12,$AL3&lt;=Formulas!C$12,($AL3+$AO3)&lt;=Formulas!F$12),"Large oversize","Special oversize"))))))))))))))))))</f>
        <v>Large standard-size over three lb</v>
      </c>
      <c r="AV3" s="163">
        <v>0.06</v>
      </c>
      <c r="AW3" s="154">
        <f>IF(ISERROR(BU3*AV3),"",BU3*AV3)</f>
        <v>5.24</v>
      </c>
      <c r="AX3" s="163">
        <v>0</v>
      </c>
      <c r="AY3" s="154">
        <f>IF(ISERROR(BU3*AX3),"",BU3*AX3)</f>
        <v>0</v>
      </c>
      <c r="AZ3" s="166">
        <v>0</v>
      </c>
      <c r="BA3" s="163">
        <v>0.02</v>
      </c>
      <c r="BB3" s="154">
        <f>IF(ISERROR(BU3*BA3),"",BU3*BA3)</f>
        <v>1.75</v>
      </c>
      <c r="BC3" s="154">
        <f>IF(ISERROR(AW3+AY3+AZ3+BB3),"",AW3+AY3+AZ3+BB3)</f>
        <v>6.99</v>
      </c>
      <c r="BD3" s="166" t="s">
        <v>158</v>
      </c>
      <c r="BE3" s="167">
        <f>VLOOKUP(BD3,Formulas!$B$23:$F$47,2,0)</f>
        <v>0.15</v>
      </c>
      <c r="BF3" s="154">
        <f>IF(ISERROR(BU3*BE3),"",BU3*BE3)</f>
        <v>13.09</v>
      </c>
      <c r="BG3" s="171">
        <f ca="1">MAX(ROUNDUP($AT3+OFFSET(Formulas!$G$3,MATCH($AU3,Formulas!$O$3:$O$20,0)-1,0),0)-OFFSET(Formulas!$H$3,MATCH($AU3,Formulas!$O$3:$O$20,0)-1,0),0)*OFFSET(Formulas!$K$3,MATCH($AU3,Formulas!$O$3:$O$20,0)-1,0)+OFFSET(Formulas!$J$3,MATCH($AU3,Formulas!$O$3:$O$20,0)-1,0)</f>
        <v>9.2200000000000006</v>
      </c>
      <c r="BH3" s="172">
        <v>1.5</v>
      </c>
      <c r="BI3" s="154">
        <f ca="1">AVERAGE(OFFSET(Formulas!$M$3:$N$3,MATCH($AU3,Formulas!$O$3:$O$20,0)-1,0))*BH3*AP3</f>
        <v>1.94</v>
      </c>
      <c r="BJ3" s="163">
        <v>0.1</v>
      </c>
      <c r="BK3" s="154">
        <f>IF(ISERROR(BU3*BJ3),"",BU3*BJ3)</f>
        <v>8.73</v>
      </c>
      <c r="BL3" s="163">
        <v>0.03</v>
      </c>
      <c r="BM3" s="154">
        <f>IF(ISERROR(BU3*BL3),"",BU3*BL3)</f>
        <v>2.62</v>
      </c>
      <c r="BN3" s="163">
        <v>7.4999999999999997E-3</v>
      </c>
      <c r="BO3" s="154">
        <f>IF(ISERROR(BU3*BN3),"",BU3*BN3)</f>
        <v>0.65</v>
      </c>
      <c r="BP3" s="154">
        <f ca="1">IF(ISERROR(BF3+BG3+BI3+BK3+BM3+BO3),"",BF3+BG3+BI3+BK3+BM3+BO3)</f>
        <v>36.25</v>
      </c>
      <c r="BQ3" s="154">
        <f ca="1">IF(ISERROR(BC3+BP3),"",BC3+BP3)</f>
        <v>43.24</v>
      </c>
      <c r="BR3" s="154">
        <f>IF(ISERROR(AK3+AY3),"",AK3+AY3)</f>
        <v>32.369999999999997</v>
      </c>
      <c r="BS3" s="170">
        <f ca="1">IF(ISERROR((BT3-BR3)/BT3),"",(BT3-BR3)/BT3)</f>
        <v>0.26519999999999999</v>
      </c>
      <c r="BT3" s="154">
        <f ca="1">IF(ISERROR(BU3-AW3-AZ3-BB3-BP3),"",BU3-AW3-AZ3-BB3-BP3)</f>
        <v>44.05</v>
      </c>
      <c r="BU3" s="162">
        <v>87.29</v>
      </c>
      <c r="BV3" s="166">
        <v>89.99</v>
      </c>
      <c r="BW3" s="154">
        <f ca="1">IF(ISERROR(AK3+BQ3),"",AK3+BQ3)</f>
        <v>75.61</v>
      </c>
      <c r="BX3" s="167">
        <f ca="1">IF(ISERROR(BQ3/BU3),"",BQ3/BU3-6%)</f>
        <v>0.43540000000000001</v>
      </c>
    </row>
  </sheetData>
  <sheetProtection insertRows="0" deleteRows="0" sort="0"/>
  <protectedRanges>
    <protectedRange sqref="AG2:AG3 A2:B3 A5:B87 D5:E87 C2:C86 U2:X3 AJ2:AK3 AC2:AE3 K4:R86 T4:AN86 AR4:AS86 AO2:AQ3 AV2:AY86 BW2:BX3 AZ4:BR86 BJ2:BU3 D2:E3 F2:J86 L2:R3 AZ2:BF3 BH2:BH3" name="Range1"/>
    <protectedRange sqref="Y2:AA3 AL2:AN3 AR2:AS3" name="Range1_2"/>
    <protectedRange sqref="AF2:AF3" name="Range1_3"/>
    <protectedRange sqref="AH2:AI3" name="Range1_4"/>
    <protectedRange sqref="S2:S3" name="Range1_6"/>
    <protectedRange sqref="K2:K3" name="Range1_1"/>
    <protectedRange sqref="AT4:AU86 AO4:AQ86" name="Range1_5"/>
  </protectedRanges>
  <phoneticPr fontId="4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ValueSelect!$A$2:$A$296</xm:f>
          </x14:formula1>
          <xm:sqref>D2:D3</xm:sqref>
        </x14:dataValidation>
        <x14:dataValidation type="list" allowBlank="1" showInputMessage="1" showErrorMessage="1">
          <x14:formula1>
            <xm:f>ValueSelect!$B$2:$B$26</xm:f>
          </x14:formula1>
          <xm:sqref>E2:E3</xm:sqref>
        </x14:dataValidation>
        <x14:dataValidation type="list" allowBlank="1" showInputMessage="1" showErrorMessage="1">
          <x14:formula1>
            <xm:f>ValueSelect!$C$2:$C$30</xm:f>
          </x14:formula1>
          <xm:sqref>F2:F3</xm:sqref>
        </x14:dataValidation>
        <x14:dataValidation type="list" allowBlank="1" showInputMessage="1" showErrorMessage="1">
          <x14:formula1>
            <xm:f>ValueSelect!$N$2:$N$6</xm:f>
          </x14:formula1>
          <xm:sqref>R2:R3</xm:sqref>
        </x14:dataValidation>
        <x14:dataValidation type="list" allowBlank="1" showInputMessage="1" showErrorMessage="1">
          <x14:formula1>
            <xm:f>ValueSelect!$S$2:$S$6</xm:f>
          </x14:formula1>
          <xm:sqref>X2:X3</xm:sqref>
        </x14:dataValidation>
        <x14:dataValidation type="list" allowBlank="1" showInputMessage="1" showErrorMessage="1">
          <x14:formula1>
            <xm:f>Formulas!$B$23:$B$47</xm:f>
          </x14:formula1>
          <xm:sqref>BD2:BD3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296"/>
  <sheetViews>
    <sheetView topLeftCell="C14" workbookViewId="0">
      <selection activeCell="O7" sqref="O7"/>
    </sheetView>
  </sheetViews>
  <sheetFormatPr defaultColWidth="9" defaultRowHeight="15"/>
  <cols>
    <col min="1" max="1" width="20.5703125" customWidth="1"/>
    <col min="2" max="2" width="30.85546875" customWidth="1"/>
    <col min="3" max="4" width="24.85546875" customWidth="1"/>
    <col min="6" max="8" width="10.42578125" customWidth="1"/>
    <col min="9" max="9" width="19.7109375" customWidth="1"/>
    <col min="10" max="10" width="13.7109375" customWidth="1"/>
    <col min="11" max="13" width="14.28515625" customWidth="1"/>
    <col min="15" max="15" width="22.140625" customWidth="1"/>
    <col min="16" max="17" width="14.28515625" customWidth="1"/>
    <col min="18" max="18" width="22" customWidth="1"/>
    <col min="19" max="19" width="20.140625" customWidth="1"/>
  </cols>
  <sheetData>
    <row r="1" spans="1:21" ht="45">
      <c r="A1" s="92" t="s">
        <v>35</v>
      </c>
      <c r="B1" s="93" t="s">
        <v>44</v>
      </c>
      <c r="C1" s="93" t="s">
        <v>160</v>
      </c>
      <c r="D1" s="93" t="s">
        <v>130</v>
      </c>
      <c r="E1" s="93" t="s">
        <v>2</v>
      </c>
      <c r="F1" s="93" t="s">
        <v>37</v>
      </c>
      <c r="G1" s="93" t="s">
        <v>70</v>
      </c>
      <c r="H1" s="93" t="s">
        <v>161</v>
      </c>
      <c r="I1" s="93" t="s">
        <v>5</v>
      </c>
      <c r="J1" s="93" t="s">
        <v>21</v>
      </c>
      <c r="K1" s="93" t="s">
        <v>162</v>
      </c>
      <c r="L1" s="93" t="s">
        <v>47</v>
      </c>
      <c r="M1" s="93" t="s">
        <v>70</v>
      </c>
      <c r="N1" s="93" t="s">
        <v>163</v>
      </c>
      <c r="O1" s="93" t="s">
        <v>164</v>
      </c>
      <c r="P1" s="93" t="s">
        <v>33</v>
      </c>
      <c r="Q1" s="93" t="s">
        <v>39</v>
      </c>
      <c r="R1" s="94" t="s">
        <v>165</v>
      </c>
      <c r="S1" s="93" t="s">
        <v>98</v>
      </c>
      <c r="T1" s="93" t="s">
        <v>61</v>
      </c>
      <c r="U1" s="93" t="s">
        <v>166</v>
      </c>
    </row>
    <row r="2" spans="1:21">
      <c r="C2" t="s">
        <v>167</v>
      </c>
      <c r="D2" t="s">
        <v>168</v>
      </c>
      <c r="E2" t="s">
        <v>169</v>
      </c>
      <c r="G2" t="s">
        <v>71</v>
      </c>
      <c r="I2" t="s">
        <v>6</v>
      </c>
      <c r="J2" t="s">
        <v>41</v>
      </c>
      <c r="K2" t="s">
        <v>32</v>
      </c>
      <c r="L2" t="s">
        <v>48</v>
      </c>
      <c r="M2" t="s">
        <v>71</v>
      </c>
      <c r="N2" t="s">
        <v>170</v>
      </c>
      <c r="O2" t="s">
        <v>69</v>
      </c>
      <c r="P2" t="s">
        <v>34</v>
      </c>
      <c r="Q2" t="s">
        <v>71</v>
      </c>
      <c r="R2" t="s">
        <v>171</v>
      </c>
      <c r="S2" s="95" t="s">
        <v>172</v>
      </c>
      <c r="T2" t="s">
        <v>71</v>
      </c>
      <c r="U2" t="s">
        <v>173</v>
      </c>
    </row>
    <row r="3" spans="1:21">
      <c r="A3" t="s">
        <v>174</v>
      </c>
      <c r="B3" t="s">
        <v>175</v>
      </c>
      <c r="C3" t="s">
        <v>176</v>
      </c>
      <c r="D3" t="s">
        <v>177</v>
      </c>
      <c r="F3" t="s">
        <v>178</v>
      </c>
      <c r="G3" t="s">
        <v>40</v>
      </c>
      <c r="I3" t="s">
        <v>24</v>
      </c>
      <c r="J3" t="s">
        <v>179</v>
      </c>
      <c r="K3" t="s">
        <v>50</v>
      </c>
      <c r="L3" t="s">
        <v>180</v>
      </c>
      <c r="M3" t="s">
        <v>40</v>
      </c>
      <c r="N3" t="s">
        <v>155</v>
      </c>
      <c r="P3" t="s">
        <v>181</v>
      </c>
      <c r="Q3" t="s">
        <v>40</v>
      </c>
      <c r="R3" t="s">
        <v>182</v>
      </c>
      <c r="S3" s="95" t="s">
        <v>183</v>
      </c>
      <c r="T3" t="s">
        <v>40</v>
      </c>
      <c r="U3" t="s">
        <v>184</v>
      </c>
    </row>
    <row r="4" spans="1:21">
      <c r="A4" t="s">
        <v>185</v>
      </c>
      <c r="B4" t="s">
        <v>186</v>
      </c>
      <c r="C4" t="s">
        <v>187</v>
      </c>
      <c r="D4" t="s">
        <v>188</v>
      </c>
      <c r="F4" t="s">
        <v>189</v>
      </c>
      <c r="J4" t="s">
        <v>190</v>
      </c>
      <c r="K4" t="s">
        <v>191</v>
      </c>
      <c r="L4" t="s">
        <v>192</v>
      </c>
      <c r="N4" t="s">
        <v>193</v>
      </c>
      <c r="R4" t="s">
        <v>194</v>
      </c>
      <c r="S4" t="s">
        <v>156</v>
      </c>
      <c r="U4" t="s">
        <v>195</v>
      </c>
    </row>
    <row r="5" spans="1:21">
      <c r="A5" t="s">
        <v>196</v>
      </c>
      <c r="B5" t="s">
        <v>197</v>
      </c>
      <c r="C5" t="s">
        <v>198</v>
      </c>
      <c r="D5" t="s">
        <v>199</v>
      </c>
      <c r="F5" t="s">
        <v>200</v>
      </c>
      <c r="J5" t="s">
        <v>22</v>
      </c>
      <c r="K5" t="s">
        <v>201</v>
      </c>
      <c r="L5" t="s">
        <v>202</v>
      </c>
      <c r="N5" t="s">
        <v>203</v>
      </c>
      <c r="R5" t="s">
        <v>204</v>
      </c>
      <c r="S5" t="s">
        <v>205</v>
      </c>
      <c r="U5" t="s">
        <v>206</v>
      </c>
    </row>
    <row r="6" spans="1:21">
      <c r="A6" t="s">
        <v>207</v>
      </c>
      <c r="B6" t="s">
        <v>208</v>
      </c>
      <c r="C6" t="s">
        <v>209</v>
      </c>
      <c r="D6" t="s">
        <v>210</v>
      </c>
      <c r="F6" t="s">
        <v>211</v>
      </c>
      <c r="J6" t="s">
        <v>212</v>
      </c>
      <c r="K6" t="s">
        <v>213</v>
      </c>
      <c r="N6" t="s">
        <v>214</v>
      </c>
      <c r="R6" s="96" t="s">
        <v>215</v>
      </c>
      <c r="S6" t="s">
        <v>216</v>
      </c>
      <c r="U6" t="s">
        <v>217</v>
      </c>
    </row>
    <row r="7" spans="1:21">
      <c r="A7" t="s">
        <v>218</v>
      </c>
      <c r="B7" t="s">
        <v>219</v>
      </c>
      <c r="C7" t="s">
        <v>220</v>
      </c>
      <c r="D7" t="s">
        <v>221</v>
      </c>
      <c r="F7" t="s">
        <v>222</v>
      </c>
      <c r="J7" t="s">
        <v>223</v>
      </c>
      <c r="K7" t="s">
        <v>54</v>
      </c>
      <c r="R7" t="s">
        <v>224</v>
      </c>
      <c r="U7" t="s">
        <v>225</v>
      </c>
    </row>
    <row r="8" spans="1:21">
      <c r="A8" t="s">
        <v>226</v>
      </c>
      <c r="B8" t="s">
        <v>227</v>
      </c>
      <c r="C8" t="s">
        <v>228</v>
      </c>
      <c r="D8" t="s">
        <v>229</v>
      </c>
      <c r="J8" t="s">
        <v>230</v>
      </c>
      <c r="K8" t="s">
        <v>231</v>
      </c>
      <c r="R8" t="s">
        <v>232</v>
      </c>
      <c r="U8" t="s">
        <v>233</v>
      </c>
    </row>
    <row r="9" spans="1:21">
      <c r="A9" t="s">
        <v>234</v>
      </c>
      <c r="B9" t="s">
        <v>235</v>
      </c>
      <c r="C9" t="s">
        <v>236</v>
      </c>
      <c r="D9" t="s">
        <v>237</v>
      </c>
      <c r="J9" t="s">
        <v>238</v>
      </c>
      <c r="K9" t="s">
        <v>239</v>
      </c>
      <c r="R9" t="s">
        <v>240</v>
      </c>
      <c r="U9" t="s">
        <v>55</v>
      </c>
    </row>
    <row r="10" spans="1:21">
      <c r="A10" t="s">
        <v>241</v>
      </c>
      <c r="B10" t="s">
        <v>242</v>
      </c>
      <c r="C10" t="s">
        <v>243</v>
      </c>
      <c r="D10" t="s">
        <v>244</v>
      </c>
      <c r="J10" t="s">
        <v>245</v>
      </c>
      <c r="R10" t="s">
        <v>246</v>
      </c>
      <c r="U10" t="s">
        <v>247</v>
      </c>
    </row>
    <row r="11" spans="1:21">
      <c r="A11" t="s">
        <v>248</v>
      </c>
      <c r="B11" t="s">
        <v>249</v>
      </c>
      <c r="C11" t="s">
        <v>250</v>
      </c>
      <c r="D11" t="s">
        <v>251</v>
      </c>
      <c r="R11" t="s">
        <v>252</v>
      </c>
    </row>
    <row r="12" spans="1:21">
      <c r="A12" t="s">
        <v>253</v>
      </c>
      <c r="B12" t="s">
        <v>254</v>
      </c>
      <c r="C12" t="s">
        <v>255</v>
      </c>
      <c r="D12" t="s">
        <v>256</v>
      </c>
      <c r="R12" t="s">
        <v>257</v>
      </c>
    </row>
    <row r="13" spans="1:21">
      <c r="A13" t="s">
        <v>258</v>
      </c>
      <c r="B13" t="s">
        <v>259</v>
      </c>
      <c r="C13" t="s">
        <v>260</v>
      </c>
      <c r="D13" t="s">
        <v>261</v>
      </c>
      <c r="R13" s="97" t="s">
        <v>262</v>
      </c>
    </row>
    <row r="14" spans="1:21">
      <c r="A14" t="s">
        <v>263</v>
      </c>
      <c r="B14" t="s">
        <v>264</v>
      </c>
      <c r="C14" t="s">
        <v>265</v>
      </c>
      <c r="D14" t="s">
        <v>266</v>
      </c>
      <c r="R14" s="97" t="s">
        <v>267</v>
      </c>
    </row>
    <row r="15" spans="1:21">
      <c r="A15" t="s">
        <v>268</v>
      </c>
      <c r="B15" t="s">
        <v>269</v>
      </c>
      <c r="C15" t="s">
        <v>270</v>
      </c>
      <c r="D15" t="s">
        <v>271</v>
      </c>
    </row>
    <row r="16" spans="1:21">
      <c r="A16" t="s">
        <v>272</v>
      </c>
      <c r="B16" t="s">
        <v>273</v>
      </c>
      <c r="C16" t="s">
        <v>274</v>
      </c>
      <c r="D16" t="s">
        <v>275</v>
      </c>
    </row>
    <row r="17" spans="1:4">
      <c r="A17" t="s">
        <v>276</v>
      </c>
      <c r="B17" t="s">
        <v>277</v>
      </c>
      <c r="C17" t="s">
        <v>278</v>
      </c>
      <c r="D17" t="s">
        <v>279</v>
      </c>
    </row>
    <row r="18" spans="1:4">
      <c r="A18" t="s">
        <v>280</v>
      </c>
      <c r="B18" t="s">
        <v>281</v>
      </c>
      <c r="C18" t="s">
        <v>282</v>
      </c>
      <c r="D18" t="s">
        <v>283</v>
      </c>
    </row>
    <row r="19" spans="1:4">
      <c r="A19" t="s">
        <v>284</v>
      </c>
      <c r="B19" t="s">
        <v>285</v>
      </c>
      <c r="C19" t="s">
        <v>286</v>
      </c>
      <c r="D19" t="s">
        <v>287</v>
      </c>
    </row>
    <row r="20" spans="1:4">
      <c r="A20" t="s">
        <v>288</v>
      </c>
      <c r="B20" t="s">
        <v>289</v>
      </c>
      <c r="C20" t="s">
        <v>290</v>
      </c>
      <c r="D20" t="s">
        <v>291</v>
      </c>
    </row>
    <row r="21" spans="1:4">
      <c r="A21" t="s">
        <v>292</v>
      </c>
      <c r="B21" t="s">
        <v>293</v>
      </c>
      <c r="C21" t="s">
        <v>294</v>
      </c>
      <c r="D21" t="s">
        <v>295</v>
      </c>
    </row>
    <row r="22" spans="1:4">
      <c r="A22" t="s">
        <v>296</v>
      </c>
      <c r="B22" t="s">
        <v>297</v>
      </c>
      <c r="C22" t="s">
        <v>46</v>
      </c>
    </row>
    <row r="23" spans="1:4">
      <c r="A23" t="s">
        <v>298</v>
      </c>
      <c r="B23" t="s">
        <v>299</v>
      </c>
      <c r="C23" t="s">
        <v>300</v>
      </c>
    </row>
    <row r="24" spans="1:4">
      <c r="A24" t="s">
        <v>301</v>
      </c>
      <c r="B24" t="s">
        <v>302</v>
      </c>
      <c r="C24" t="s">
        <v>303</v>
      </c>
    </row>
    <row r="25" spans="1:4">
      <c r="A25" t="s">
        <v>304</v>
      </c>
      <c r="B25" t="s">
        <v>305</v>
      </c>
      <c r="C25" t="s">
        <v>306</v>
      </c>
    </row>
    <row r="26" spans="1:4">
      <c r="A26" t="s">
        <v>307</v>
      </c>
      <c r="B26" t="s">
        <v>308</v>
      </c>
      <c r="C26" t="s">
        <v>309</v>
      </c>
    </row>
    <row r="27" spans="1:4">
      <c r="A27" t="s">
        <v>310</v>
      </c>
      <c r="C27" t="s">
        <v>311</v>
      </c>
    </row>
    <row r="28" spans="1:4">
      <c r="A28" t="s">
        <v>312</v>
      </c>
      <c r="C28" t="s">
        <v>313</v>
      </c>
    </row>
    <row r="29" spans="1:4">
      <c r="A29" t="s">
        <v>314</v>
      </c>
      <c r="C29" t="s">
        <v>315</v>
      </c>
    </row>
    <row r="30" spans="1:4">
      <c r="A30" t="s">
        <v>316</v>
      </c>
      <c r="C30" t="s">
        <v>317</v>
      </c>
    </row>
    <row r="31" spans="1:4">
      <c r="A31" t="s">
        <v>318</v>
      </c>
    </row>
    <row r="32" spans="1:4">
      <c r="A32" t="s">
        <v>319</v>
      </c>
    </row>
    <row r="33" spans="1:1">
      <c r="A33" t="s">
        <v>320</v>
      </c>
    </row>
    <row r="34" spans="1:1">
      <c r="A34" t="s">
        <v>321</v>
      </c>
    </row>
    <row r="35" spans="1:1">
      <c r="A35" t="s">
        <v>322</v>
      </c>
    </row>
    <row r="36" spans="1:1">
      <c r="A36" t="s">
        <v>323</v>
      </c>
    </row>
    <row r="37" spans="1:1">
      <c r="A37" t="s">
        <v>324</v>
      </c>
    </row>
    <row r="38" spans="1:1">
      <c r="A38" t="s">
        <v>325</v>
      </c>
    </row>
    <row r="39" spans="1:1">
      <c r="A39" t="s">
        <v>326</v>
      </c>
    </row>
    <row r="40" spans="1:1">
      <c r="A40" t="s">
        <v>327</v>
      </c>
    </row>
    <row r="41" spans="1:1">
      <c r="A41" t="s">
        <v>328</v>
      </c>
    </row>
    <row r="42" spans="1:1">
      <c r="A42" t="s">
        <v>329</v>
      </c>
    </row>
    <row r="43" spans="1:1">
      <c r="A43" t="s">
        <v>330</v>
      </c>
    </row>
    <row r="44" spans="1:1">
      <c r="A44" t="s">
        <v>331</v>
      </c>
    </row>
    <row r="45" spans="1:1">
      <c r="A45" t="s">
        <v>332</v>
      </c>
    </row>
    <row r="46" spans="1:1">
      <c r="A46" t="s">
        <v>333</v>
      </c>
    </row>
    <row r="47" spans="1:1">
      <c r="A47" t="s">
        <v>334</v>
      </c>
    </row>
    <row r="48" spans="1:1">
      <c r="A48" t="s">
        <v>335</v>
      </c>
    </row>
    <row r="49" spans="1:1">
      <c r="A49" t="s">
        <v>336</v>
      </c>
    </row>
    <row r="50" spans="1:1">
      <c r="A50" t="s">
        <v>337</v>
      </c>
    </row>
    <row r="51" spans="1:1">
      <c r="A51" t="s">
        <v>338</v>
      </c>
    </row>
    <row r="52" spans="1:1">
      <c r="A52" t="s">
        <v>339</v>
      </c>
    </row>
    <row r="53" spans="1:1">
      <c r="A53" t="s">
        <v>340</v>
      </c>
    </row>
    <row r="54" spans="1:1">
      <c r="A54" t="s">
        <v>341</v>
      </c>
    </row>
    <row r="55" spans="1:1">
      <c r="A55" t="s">
        <v>342</v>
      </c>
    </row>
    <row r="56" spans="1:1">
      <c r="A56" t="s">
        <v>343</v>
      </c>
    </row>
    <row r="57" spans="1:1">
      <c r="A57" t="s">
        <v>344</v>
      </c>
    </row>
    <row r="58" spans="1:1">
      <c r="A58" t="s">
        <v>345</v>
      </c>
    </row>
    <row r="59" spans="1:1">
      <c r="A59" t="s">
        <v>346</v>
      </c>
    </row>
    <row r="60" spans="1:1">
      <c r="A60" t="s">
        <v>347</v>
      </c>
    </row>
    <row r="61" spans="1:1">
      <c r="A61" t="s">
        <v>348</v>
      </c>
    </row>
    <row r="62" spans="1:1">
      <c r="A62" t="s">
        <v>349</v>
      </c>
    </row>
    <row r="63" spans="1:1">
      <c r="A63" t="s">
        <v>350</v>
      </c>
    </row>
    <row r="64" spans="1:1">
      <c r="A64" t="s">
        <v>351</v>
      </c>
    </row>
    <row r="65" spans="1:1">
      <c r="A65" t="s">
        <v>352</v>
      </c>
    </row>
    <row r="66" spans="1:1">
      <c r="A66" t="s">
        <v>353</v>
      </c>
    </row>
    <row r="67" spans="1:1">
      <c r="A67" t="s">
        <v>354</v>
      </c>
    </row>
    <row r="68" spans="1:1">
      <c r="A68" t="s">
        <v>355</v>
      </c>
    </row>
    <row r="69" spans="1:1">
      <c r="A69" t="s">
        <v>356</v>
      </c>
    </row>
    <row r="70" spans="1:1">
      <c r="A70" t="s">
        <v>357</v>
      </c>
    </row>
    <row r="71" spans="1:1">
      <c r="A71" t="s">
        <v>358</v>
      </c>
    </row>
    <row r="72" spans="1:1">
      <c r="A72" t="s">
        <v>359</v>
      </c>
    </row>
    <row r="73" spans="1:1">
      <c r="A73" t="s">
        <v>360</v>
      </c>
    </row>
    <row r="74" spans="1:1">
      <c r="A74" t="s">
        <v>361</v>
      </c>
    </row>
    <row r="75" spans="1:1">
      <c r="A75" t="s">
        <v>362</v>
      </c>
    </row>
    <row r="76" spans="1:1">
      <c r="A76" t="s">
        <v>363</v>
      </c>
    </row>
    <row r="77" spans="1:1">
      <c r="A77" t="s">
        <v>364</v>
      </c>
    </row>
    <row r="78" spans="1:1">
      <c r="A78" t="s">
        <v>365</v>
      </c>
    </row>
    <row r="79" spans="1:1">
      <c r="A79" t="s">
        <v>366</v>
      </c>
    </row>
    <row r="80" spans="1:1">
      <c r="A80" t="s">
        <v>36</v>
      </c>
    </row>
    <row r="81" spans="1:1">
      <c r="A81" t="s">
        <v>367</v>
      </c>
    </row>
    <row r="82" spans="1:1">
      <c r="A82" t="s">
        <v>368</v>
      </c>
    </row>
    <row r="83" spans="1:1">
      <c r="A83" t="s">
        <v>369</v>
      </c>
    </row>
    <row r="84" spans="1:1">
      <c r="A84" t="s">
        <v>370</v>
      </c>
    </row>
    <row r="85" spans="1:1">
      <c r="A85" t="s">
        <v>371</v>
      </c>
    </row>
    <row r="86" spans="1:1">
      <c r="A86" t="s">
        <v>372</v>
      </c>
    </row>
    <row r="87" spans="1:1">
      <c r="A87" t="s">
        <v>373</v>
      </c>
    </row>
    <row r="88" spans="1:1">
      <c r="A88" t="s">
        <v>374</v>
      </c>
    </row>
    <row r="89" spans="1:1">
      <c r="A89" t="s">
        <v>375</v>
      </c>
    </row>
    <row r="90" spans="1:1">
      <c r="A90" t="s">
        <v>376</v>
      </c>
    </row>
    <row r="91" spans="1:1">
      <c r="A91" t="s">
        <v>377</v>
      </c>
    </row>
    <row r="92" spans="1:1">
      <c r="A92" t="s">
        <v>378</v>
      </c>
    </row>
    <row r="93" spans="1:1">
      <c r="A93" t="s">
        <v>379</v>
      </c>
    </row>
    <row r="94" spans="1:1">
      <c r="A94" t="s">
        <v>380</v>
      </c>
    </row>
    <row r="95" spans="1:1">
      <c r="A95" t="s">
        <v>381</v>
      </c>
    </row>
    <row r="96" spans="1:1">
      <c r="A96" t="s">
        <v>382</v>
      </c>
    </row>
    <row r="97" spans="1:1">
      <c r="A97" t="s">
        <v>383</v>
      </c>
    </row>
    <row r="98" spans="1:1">
      <c r="A98" t="s">
        <v>384</v>
      </c>
    </row>
    <row r="99" spans="1:1">
      <c r="A99" t="s">
        <v>385</v>
      </c>
    </row>
    <row r="100" spans="1:1">
      <c r="A100" t="s">
        <v>386</v>
      </c>
    </row>
    <row r="101" spans="1:1">
      <c r="A101" t="s">
        <v>387</v>
      </c>
    </row>
    <row r="102" spans="1:1">
      <c r="A102" t="s">
        <v>388</v>
      </c>
    </row>
    <row r="103" spans="1:1">
      <c r="A103" t="s">
        <v>389</v>
      </c>
    </row>
    <row r="104" spans="1:1">
      <c r="A104" t="s">
        <v>390</v>
      </c>
    </row>
    <row r="105" spans="1:1">
      <c r="A105" t="s">
        <v>391</v>
      </c>
    </row>
    <row r="106" spans="1:1">
      <c r="A106" t="s">
        <v>392</v>
      </c>
    </row>
    <row r="107" spans="1:1">
      <c r="A107" t="s">
        <v>393</v>
      </c>
    </row>
    <row r="108" spans="1:1">
      <c r="A108" t="s">
        <v>394</v>
      </c>
    </row>
    <row r="109" spans="1:1">
      <c r="A109" t="s">
        <v>395</v>
      </c>
    </row>
    <row r="110" spans="1:1">
      <c r="A110" t="s">
        <v>396</v>
      </c>
    </row>
    <row r="111" spans="1:1">
      <c r="A111" t="s">
        <v>397</v>
      </c>
    </row>
    <row r="112" spans="1:1">
      <c r="A112" t="s">
        <v>398</v>
      </c>
    </row>
    <row r="113" spans="1:1">
      <c r="A113" t="s">
        <v>399</v>
      </c>
    </row>
    <row r="114" spans="1:1">
      <c r="A114" t="s">
        <v>400</v>
      </c>
    </row>
    <row r="115" spans="1:1">
      <c r="A115" t="s">
        <v>401</v>
      </c>
    </row>
    <row r="116" spans="1:1">
      <c r="A116" t="s">
        <v>402</v>
      </c>
    </row>
    <row r="117" spans="1:1">
      <c r="A117" t="s">
        <v>403</v>
      </c>
    </row>
    <row r="118" spans="1:1">
      <c r="A118" t="s">
        <v>404</v>
      </c>
    </row>
    <row r="119" spans="1:1">
      <c r="A119" t="s">
        <v>405</v>
      </c>
    </row>
    <row r="120" spans="1:1">
      <c r="A120" t="s">
        <v>406</v>
      </c>
    </row>
    <row r="121" spans="1:1">
      <c r="A121" t="s">
        <v>407</v>
      </c>
    </row>
    <row r="122" spans="1:1">
      <c r="A122" t="s">
        <v>408</v>
      </c>
    </row>
    <row r="123" spans="1:1">
      <c r="A123" t="s">
        <v>409</v>
      </c>
    </row>
    <row r="124" spans="1:1">
      <c r="A124" t="s">
        <v>410</v>
      </c>
    </row>
    <row r="125" spans="1:1">
      <c r="A125" t="s">
        <v>411</v>
      </c>
    </row>
    <row r="126" spans="1:1">
      <c r="A126" t="s">
        <v>412</v>
      </c>
    </row>
    <row r="127" spans="1:1">
      <c r="A127" t="s">
        <v>413</v>
      </c>
    </row>
    <row r="128" spans="1:1">
      <c r="A128" t="s">
        <v>414</v>
      </c>
    </row>
    <row r="129" spans="1:1">
      <c r="A129" t="s">
        <v>415</v>
      </c>
    </row>
    <row r="130" spans="1:1">
      <c r="A130" t="s">
        <v>416</v>
      </c>
    </row>
    <row r="131" spans="1:1">
      <c r="A131" t="s">
        <v>417</v>
      </c>
    </row>
    <row r="132" spans="1:1">
      <c r="A132" t="s">
        <v>418</v>
      </c>
    </row>
    <row r="133" spans="1:1">
      <c r="A133" t="s">
        <v>419</v>
      </c>
    </row>
    <row r="134" spans="1:1">
      <c r="A134" t="s">
        <v>420</v>
      </c>
    </row>
    <row r="135" spans="1:1">
      <c r="A135" t="s">
        <v>421</v>
      </c>
    </row>
    <row r="136" spans="1:1">
      <c r="A136" t="s">
        <v>422</v>
      </c>
    </row>
    <row r="137" spans="1:1">
      <c r="A137" t="s">
        <v>423</v>
      </c>
    </row>
    <row r="138" spans="1:1">
      <c r="A138" t="s">
        <v>424</v>
      </c>
    </row>
    <row r="139" spans="1:1">
      <c r="A139" t="s">
        <v>425</v>
      </c>
    </row>
    <row r="140" spans="1:1">
      <c r="A140" t="s">
        <v>426</v>
      </c>
    </row>
    <row r="141" spans="1:1">
      <c r="A141" t="s">
        <v>427</v>
      </c>
    </row>
    <row r="142" spans="1:1">
      <c r="A142" t="s">
        <v>428</v>
      </c>
    </row>
    <row r="143" spans="1:1">
      <c r="A143" t="s">
        <v>429</v>
      </c>
    </row>
    <row r="144" spans="1:1">
      <c r="A144" t="s">
        <v>430</v>
      </c>
    </row>
    <row r="145" spans="1:1">
      <c r="A145" t="s">
        <v>431</v>
      </c>
    </row>
    <row r="146" spans="1:1">
      <c r="A146" t="s">
        <v>432</v>
      </c>
    </row>
    <row r="147" spans="1:1">
      <c r="A147" t="s">
        <v>433</v>
      </c>
    </row>
    <row r="148" spans="1:1">
      <c r="A148" t="s">
        <v>434</v>
      </c>
    </row>
    <row r="149" spans="1:1">
      <c r="A149" t="s">
        <v>435</v>
      </c>
    </row>
    <row r="150" spans="1:1">
      <c r="A150" t="s">
        <v>436</v>
      </c>
    </row>
    <row r="151" spans="1:1">
      <c r="A151" t="s">
        <v>437</v>
      </c>
    </row>
    <row r="152" spans="1:1">
      <c r="A152" t="s">
        <v>438</v>
      </c>
    </row>
    <row r="153" spans="1:1">
      <c r="A153" t="s">
        <v>439</v>
      </c>
    </row>
    <row r="154" spans="1:1">
      <c r="A154" t="s">
        <v>440</v>
      </c>
    </row>
    <row r="155" spans="1:1">
      <c r="A155" t="s">
        <v>441</v>
      </c>
    </row>
    <row r="156" spans="1:1">
      <c r="A156" t="s">
        <v>442</v>
      </c>
    </row>
    <row r="157" spans="1:1">
      <c r="A157" t="s">
        <v>443</v>
      </c>
    </row>
    <row r="158" spans="1:1">
      <c r="A158" t="s">
        <v>444</v>
      </c>
    </row>
    <row r="159" spans="1:1">
      <c r="A159" t="s">
        <v>445</v>
      </c>
    </row>
    <row r="160" spans="1:1">
      <c r="A160" t="s">
        <v>446</v>
      </c>
    </row>
    <row r="161" spans="1:1">
      <c r="A161" t="s">
        <v>447</v>
      </c>
    </row>
    <row r="162" spans="1:1">
      <c r="A162" t="s">
        <v>448</v>
      </c>
    </row>
    <row r="163" spans="1:1">
      <c r="A163" t="s">
        <v>449</v>
      </c>
    </row>
    <row r="164" spans="1:1">
      <c r="A164" t="s">
        <v>450</v>
      </c>
    </row>
    <row r="165" spans="1:1">
      <c r="A165" t="s">
        <v>451</v>
      </c>
    </row>
    <row r="166" spans="1:1">
      <c r="A166" t="s">
        <v>452</v>
      </c>
    </row>
    <row r="167" spans="1:1">
      <c r="A167" t="s">
        <v>453</v>
      </c>
    </row>
    <row r="168" spans="1:1">
      <c r="A168" t="s">
        <v>454</v>
      </c>
    </row>
    <row r="169" spans="1:1">
      <c r="A169" t="s">
        <v>455</v>
      </c>
    </row>
    <row r="170" spans="1:1">
      <c r="A170" t="s">
        <v>456</v>
      </c>
    </row>
    <row r="171" spans="1:1">
      <c r="A171" t="s">
        <v>457</v>
      </c>
    </row>
    <row r="172" spans="1:1">
      <c r="A172" t="s">
        <v>458</v>
      </c>
    </row>
    <row r="173" spans="1:1">
      <c r="A173" t="s">
        <v>459</v>
      </c>
    </row>
    <row r="174" spans="1:1">
      <c r="A174" t="s">
        <v>460</v>
      </c>
    </row>
    <row r="175" spans="1:1">
      <c r="A175" t="s">
        <v>461</v>
      </c>
    </row>
    <row r="176" spans="1:1">
      <c r="A176" t="s">
        <v>462</v>
      </c>
    </row>
    <row r="177" spans="1:1">
      <c r="A177" t="s">
        <v>463</v>
      </c>
    </row>
    <row r="178" spans="1:1">
      <c r="A178" t="s">
        <v>464</v>
      </c>
    </row>
    <row r="179" spans="1:1">
      <c r="A179" t="s">
        <v>465</v>
      </c>
    </row>
    <row r="180" spans="1:1">
      <c r="A180" t="s">
        <v>466</v>
      </c>
    </row>
    <row r="181" spans="1:1">
      <c r="A181" t="s">
        <v>467</v>
      </c>
    </row>
    <row r="182" spans="1:1">
      <c r="A182" t="s">
        <v>468</v>
      </c>
    </row>
    <row r="183" spans="1:1">
      <c r="A183" t="s">
        <v>469</v>
      </c>
    </row>
    <row r="184" spans="1:1">
      <c r="A184" t="s">
        <v>470</v>
      </c>
    </row>
    <row r="185" spans="1:1">
      <c r="A185" t="s">
        <v>471</v>
      </c>
    </row>
    <row r="186" spans="1:1">
      <c r="A186" t="s">
        <v>472</v>
      </c>
    </row>
    <row r="187" spans="1:1">
      <c r="A187" t="s">
        <v>473</v>
      </c>
    </row>
    <row r="188" spans="1:1">
      <c r="A188" t="s">
        <v>474</v>
      </c>
    </row>
    <row r="189" spans="1:1">
      <c r="A189" t="s">
        <v>475</v>
      </c>
    </row>
    <row r="190" spans="1:1">
      <c r="A190" t="s">
        <v>476</v>
      </c>
    </row>
    <row r="191" spans="1:1">
      <c r="A191" t="s">
        <v>477</v>
      </c>
    </row>
    <row r="192" spans="1:1">
      <c r="A192" t="s">
        <v>478</v>
      </c>
    </row>
    <row r="193" spans="1:1">
      <c r="A193" t="s">
        <v>479</v>
      </c>
    </row>
    <row r="194" spans="1:1">
      <c r="A194" t="s">
        <v>480</v>
      </c>
    </row>
    <row r="195" spans="1:1">
      <c r="A195" t="s">
        <v>481</v>
      </c>
    </row>
    <row r="196" spans="1:1">
      <c r="A196" t="s">
        <v>482</v>
      </c>
    </row>
    <row r="197" spans="1:1">
      <c r="A197" t="s">
        <v>483</v>
      </c>
    </row>
    <row r="198" spans="1:1">
      <c r="A198" t="s">
        <v>484</v>
      </c>
    </row>
    <row r="199" spans="1:1">
      <c r="A199" t="s">
        <v>485</v>
      </c>
    </row>
    <row r="200" spans="1:1">
      <c r="A200" t="s">
        <v>486</v>
      </c>
    </row>
    <row r="201" spans="1:1">
      <c r="A201" t="s">
        <v>487</v>
      </c>
    </row>
    <row r="202" spans="1:1">
      <c r="A202" t="s">
        <v>488</v>
      </c>
    </row>
    <row r="203" spans="1:1">
      <c r="A203" t="s">
        <v>489</v>
      </c>
    </row>
    <row r="204" spans="1:1">
      <c r="A204" t="s">
        <v>490</v>
      </c>
    </row>
    <row r="205" spans="1:1">
      <c r="A205" t="s">
        <v>491</v>
      </c>
    </row>
    <row r="206" spans="1:1">
      <c r="A206" t="s">
        <v>492</v>
      </c>
    </row>
    <row r="207" spans="1:1">
      <c r="A207" t="s">
        <v>493</v>
      </c>
    </row>
    <row r="208" spans="1:1">
      <c r="A208" t="s">
        <v>494</v>
      </c>
    </row>
    <row r="209" spans="1:1">
      <c r="A209" t="s">
        <v>495</v>
      </c>
    </row>
    <row r="210" spans="1:1">
      <c r="A210" t="s">
        <v>496</v>
      </c>
    </row>
    <row r="211" spans="1:1">
      <c r="A211" t="s">
        <v>497</v>
      </c>
    </row>
    <row r="212" spans="1:1">
      <c r="A212" t="s">
        <v>498</v>
      </c>
    </row>
    <row r="213" spans="1:1">
      <c r="A213" t="s">
        <v>499</v>
      </c>
    </row>
    <row r="214" spans="1:1">
      <c r="A214" t="s">
        <v>500</v>
      </c>
    </row>
    <row r="215" spans="1:1">
      <c r="A215" t="s">
        <v>501</v>
      </c>
    </row>
    <row r="216" spans="1:1">
      <c r="A216" t="s">
        <v>502</v>
      </c>
    </row>
    <row r="217" spans="1:1">
      <c r="A217" t="s">
        <v>503</v>
      </c>
    </row>
    <row r="218" spans="1:1">
      <c r="A218" t="s">
        <v>504</v>
      </c>
    </row>
    <row r="219" spans="1:1">
      <c r="A219" t="s">
        <v>505</v>
      </c>
    </row>
    <row r="220" spans="1:1">
      <c r="A220" t="s">
        <v>506</v>
      </c>
    </row>
    <row r="221" spans="1:1">
      <c r="A221" t="s">
        <v>507</v>
      </c>
    </row>
    <row r="222" spans="1:1">
      <c r="A222" t="s">
        <v>508</v>
      </c>
    </row>
    <row r="223" spans="1:1">
      <c r="A223" t="s">
        <v>509</v>
      </c>
    </row>
    <row r="224" spans="1:1">
      <c r="A224" t="s">
        <v>510</v>
      </c>
    </row>
    <row r="225" spans="1:1">
      <c r="A225" t="s">
        <v>511</v>
      </c>
    </row>
    <row r="226" spans="1:1">
      <c r="A226" t="s">
        <v>512</v>
      </c>
    </row>
    <row r="227" spans="1:1">
      <c r="A227" t="s">
        <v>513</v>
      </c>
    </row>
    <row r="228" spans="1:1">
      <c r="A228" t="s">
        <v>514</v>
      </c>
    </row>
    <row r="229" spans="1:1">
      <c r="A229" t="s">
        <v>515</v>
      </c>
    </row>
    <row r="230" spans="1:1">
      <c r="A230" t="s">
        <v>516</v>
      </c>
    </row>
    <row r="231" spans="1:1">
      <c r="A231" t="s">
        <v>517</v>
      </c>
    </row>
    <row r="232" spans="1:1">
      <c r="A232" t="s">
        <v>518</v>
      </c>
    </row>
    <row r="233" spans="1:1">
      <c r="A233" t="s">
        <v>519</v>
      </c>
    </row>
    <row r="234" spans="1:1">
      <c r="A234" t="s">
        <v>520</v>
      </c>
    </row>
    <row r="235" spans="1:1">
      <c r="A235" t="s">
        <v>521</v>
      </c>
    </row>
    <row r="236" spans="1:1">
      <c r="A236" t="s">
        <v>522</v>
      </c>
    </row>
    <row r="237" spans="1:1">
      <c r="A237" t="s">
        <v>523</v>
      </c>
    </row>
    <row r="238" spans="1:1">
      <c r="A238" t="s">
        <v>524</v>
      </c>
    </row>
    <row r="239" spans="1:1">
      <c r="A239" t="s">
        <v>525</v>
      </c>
    </row>
    <row r="240" spans="1:1">
      <c r="A240" t="s">
        <v>526</v>
      </c>
    </row>
    <row r="241" spans="1:1">
      <c r="A241" t="s">
        <v>527</v>
      </c>
    </row>
    <row r="242" spans="1:1">
      <c r="A242" t="s">
        <v>528</v>
      </c>
    </row>
    <row r="243" spans="1:1">
      <c r="A243" t="s">
        <v>529</v>
      </c>
    </row>
    <row r="244" spans="1:1">
      <c r="A244" t="s">
        <v>530</v>
      </c>
    </row>
    <row r="245" spans="1:1">
      <c r="A245" t="s">
        <v>531</v>
      </c>
    </row>
    <row r="246" spans="1:1">
      <c r="A246" t="s">
        <v>532</v>
      </c>
    </row>
    <row r="247" spans="1:1">
      <c r="A247" t="s">
        <v>533</v>
      </c>
    </row>
    <row r="248" spans="1:1">
      <c r="A248" t="s">
        <v>534</v>
      </c>
    </row>
    <row r="249" spans="1:1">
      <c r="A249" t="s">
        <v>535</v>
      </c>
    </row>
    <row r="250" spans="1:1">
      <c r="A250" t="s">
        <v>536</v>
      </c>
    </row>
    <row r="251" spans="1:1">
      <c r="A251" t="s">
        <v>537</v>
      </c>
    </row>
    <row r="252" spans="1:1">
      <c r="A252" t="s">
        <v>538</v>
      </c>
    </row>
    <row r="253" spans="1:1">
      <c r="A253" t="s">
        <v>539</v>
      </c>
    </row>
    <row r="254" spans="1:1">
      <c r="A254" t="s">
        <v>540</v>
      </c>
    </row>
    <row r="255" spans="1:1">
      <c r="A255" t="s">
        <v>541</v>
      </c>
    </row>
    <row r="256" spans="1:1">
      <c r="A256" t="s">
        <v>542</v>
      </c>
    </row>
    <row r="257" spans="1:1">
      <c r="A257" t="s">
        <v>543</v>
      </c>
    </row>
    <row r="258" spans="1:1">
      <c r="A258" t="s">
        <v>544</v>
      </c>
    </row>
    <row r="259" spans="1:1">
      <c r="A259" t="s">
        <v>545</v>
      </c>
    </row>
    <row r="260" spans="1:1">
      <c r="A260" t="s">
        <v>546</v>
      </c>
    </row>
    <row r="261" spans="1:1">
      <c r="A261" t="s">
        <v>547</v>
      </c>
    </row>
    <row r="262" spans="1:1">
      <c r="A262" t="s">
        <v>548</v>
      </c>
    </row>
    <row r="263" spans="1:1">
      <c r="A263" t="s">
        <v>549</v>
      </c>
    </row>
    <row r="264" spans="1:1">
      <c r="A264" t="s">
        <v>550</v>
      </c>
    </row>
    <row r="265" spans="1:1">
      <c r="A265" t="s">
        <v>551</v>
      </c>
    </row>
    <row r="266" spans="1:1">
      <c r="A266" t="s">
        <v>552</v>
      </c>
    </row>
    <row r="267" spans="1:1">
      <c r="A267" t="s">
        <v>553</v>
      </c>
    </row>
    <row r="268" spans="1:1">
      <c r="A268" t="s">
        <v>554</v>
      </c>
    </row>
    <row r="269" spans="1:1">
      <c r="A269" t="s">
        <v>555</v>
      </c>
    </row>
    <row r="270" spans="1:1">
      <c r="A270" t="s">
        <v>556</v>
      </c>
    </row>
    <row r="271" spans="1:1">
      <c r="A271" t="s">
        <v>557</v>
      </c>
    </row>
    <row r="272" spans="1:1">
      <c r="A272" t="s">
        <v>558</v>
      </c>
    </row>
    <row r="273" spans="1:1">
      <c r="A273" t="s">
        <v>559</v>
      </c>
    </row>
    <row r="274" spans="1:1">
      <c r="A274" t="s">
        <v>560</v>
      </c>
    </row>
    <row r="275" spans="1:1">
      <c r="A275" t="s">
        <v>561</v>
      </c>
    </row>
    <row r="276" spans="1:1">
      <c r="A276" t="s">
        <v>562</v>
      </c>
    </row>
    <row r="277" spans="1:1">
      <c r="A277" t="s">
        <v>563</v>
      </c>
    </row>
    <row r="278" spans="1:1">
      <c r="A278" t="s">
        <v>564</v>
      </c>
    </row>
    <row r="279" spans="1:1">
      <c r="A279" t="s">
        <v>565</v>
      </c>
    </row>
    <row r="280" spans="1:1">
      <c r="A280" t="s">
        <v>566</v>
      </c>
    </row>
    <row r="281" spans="1:1">
      <c r="A281" t="s">
        <v>567</v>
      </c>
    </row>
    <row r="282" spans="1:1">
      <c r="A282" t="s">
        <v>568</v>
      </c>
    </row>
    <row r="283" spans="1:1">
      <c r="A283" t="s">
        <v>569</v>
      </c>
    </row>
    <row r="284" spans="1:1">
      <c r="A284" t="s">
        <v>570</v>
      </c>
    </row>
    <row r="285" spans="1:1">
      <c r="A285" t="s">
        <v>571</v>
      </c>
    </row>
    <row r="286" spans="1:1">
      <c r="A286" t="s">
        <v>572</v>
      </c>
    </row>
    <row r="287" spans="1:1">
      <c r="A287" t="s">
        <v>573</v>
      </c>
    </row>
    <row r="288" spans="1:1">
      <c r="A288" t="s">
        <v>574</v>
      </c>
    </row>
    <row r="289" spans="1:1">
      <c r="A289" t="s">
        <v>575</v>
      </c>
    </row>
    <row r="290" spans="1:1">
      <c r="A290" t="s">
        <v>576</v>
      </c>
    </row>
    <row r="291" spans="1:1">
      <c r="A291" t="s">
        <v>577</v>
      </c>
    </row>
    <row r="292" spans="1:1">
      <c r="A292" t="s">
        <v>578</v>
      </c>
    </row>
    <row r="293" spans="1:1">
      <c r="A293" t="s">
        <v>579</v>
      </c>
    </row>
    <row r="294" spans="1:1">
      <c r="A294" t="s">
        <v>580</v>
      </c>
    </row>
    <row r="295" spans="1:1">
      <c r="A295" t="s">
        <v>581</v>
      </c>
    </row>
    <row r="296" spans="1:1">
      <c r="A296" t="s">
        <v>582</v>
      </c>
    </row>
  </sheetData>
  <autoFilter ref="A1:U296"/>
  <phoneticPr fontId="4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52"/>
  <sheetViews>
    <sheetView topLeftCell="D1" workbookViewId="0">
      <selection activeCell="J1" sqref="J1:J1048576"/>
    </sheetView>
  </sheetViews>
  <sheetFormatPr defaultColWidth="12" defaultRowHeight="14.25"/>
  <cols>
    <col min="1" max="1" width="12" style="84"/>
    <col min="2" max="2" width="13.140625" style="84" customWidth="1"/>
    <col min="3" max="9" width="12" style="84"/>
    <col min="10" max="10" width="16.42578125" style="84" customWidth="1"/>
    <col min="11" max="14" width="12" style="84"/>
    <col min="15" max="15" width="56.42578125" style="84" customWidth="1"/>
    <col min="16" max="16" width="12" style="84"/>
    <col min="17" max="17" width="95.140625" style="84" customWidth="1"/>
    <col min="18" max="16384" width="12" style="84"/>
  </cols>
  <sheetData>
    <row r="2" spans="2:17">
      <c r="B2" s="85" t="s">
        <v>583</v>
      </c>
      <c r="C2" s="85" t="s">
        <v>584</v>
      </c>
      <c r="D2" s="85" t="s">
        <v>585</v>
      </c>
      <c r="E2" s="85" t="s">
        <v>586</v>
      </c>
      <c r="F2" s="85" t="s">
        <v>587</v>
      </c>
      <c r="G2" s="85" t="s">
        <v>588</v>
      </c>
      <c r="H2" s="85" t="s">
        <v>589</v>
      </c>
      <c r="I2" s="85"/>
      <c r="J2" s="85" t="s">
        <v>590</v>
      </c>
      <c r="K2" s="85" t="s">
        <v>591</v>
      </c>
      <c r="L2" s="85" t="s">
        <v>592</v>
      </c>
      <c r="M2" s="85" t="s">
        <v>593</v>
      </c>
      <c r="N2" s="85" t="s">
        <v>594</v>
      </c>
      <c r="O2" s="85" t="s">
        <v>595</v>
      </c>
      <c r="Q2" s="86"/>
    </row>
    <row r="3" spans="2:17">
      <c r="B3" s="87">
        <f>10/16</f>
        <v>0.625</v>
      </c>
      <c r="C3" s="87">
        <v>15</v>
      </c>
      <c r="D3" s="87">
        <v>12</v>
      </c>
      <c r="E3" s="87">
        <v>0.75</v>
      </c>
      <c r="F3" s="87"/>
      <c r="G3" s="87">
        <v>0.25</v>
      </c>
      <c r="H3" s="87">
        <v>0</v>
      </c>
      <c r="I3" s="87"/>
      <c r="J3" s="88">
        <v>2.5</v>
      </c>
      <c r="K3" s="87"/>
      <c r="L3" s="87"/>
      <c r="M3" s="87">
        <v>0.75</v>
      </c>
      <c r="N3" s="87">
        <v>2.4</v>
      </c>
      <c r="O3" s="87" t="s">
        <v>596</v>
      </c>
    </row>
    <row r="4" spans="2:17">
      <c r="B4" s="87">
        <v>1</v>
      </c>
      <c r="C4" s="87">
        <v>15</v>
      </c>
      <c r="D4" s="87">
        <v>12</v>
      </c>
      <c r="E4" s="87">
        <v>0.75</v>
      </c>
      <c r="F4" s="87"/>
      <c r="G4" s="87">
        <v>0.25</v>
      </c>
      <c r="H4" s="87">
        <v>0</v>
      </c>
      <c r="I4" s="87"/>
      <c r="J4" s="88">
        <v>2.63</v>
      </c>
      <c r="K4" s="87"/>
      <c r="L4" s="87"/>
      <c r="M4" s="87">
        <v>0.75</v>
      </c>
      <c r="N4" s="87">
        <v>2.4</v>
      </c>
      <c r="O4" s="87" t="s">
        <v>597</v>
      </c>
    </row>
    <row r="5" spans="2:17">
      <c r="B5" s="87">
        <f>10/16</f>
        <v>0.625</v>
      </c>
      <c r="C5" s="87">
        <v>18</v>
      </c>
      <c r="D5" s="87">
        <v>14</v>
      </c>
      <c r="E5" s="87">
        <v>8</v>
      </c>
      <c r="F5" s="87"/>
      <c r="G5" s="87">
        <v>0.25</v>
      </c>
      <c r="H5" s="87">
        <v>0</v>
      </c>
      <c r="I5" s="87"/>
      <c r="J5" s="87">
        <v>3.31</v>
      </c>
      <c r="K5" s="87"/>
      <c r="L5" s="87"/>
      <c r="M5" s="87">
        <v>0.75</v>
      </c>
      <c r="N5" s="87">
        <v>2.4</v>
      </c>
      <c r="O5" s="87" t="s">
        <v>598</v>
      </c>
    </row>
    <row r="6" spans="2:17">
      <c r="B6" s="87">
        <v>1</v>
      </c>
      <c r="C6" s="87">
        <v>18</v>
      </c>
      <c r="D6" s="87">
        <v>14</v>
      </c>
      <c r="E6" s="87">
        <v>8</v>
      </c>
      <c r="F6" s="87"/>
      <c r="G6" s="87">
        <v>0.25</v>
      </c>
      <c r="H6" s="87">
        <v>0</v>
      </c>
      <c r="I6" s="87"/>
      <c r="J6" s="87">
        <v>3.48</v>
      </c>
      <c r="K6" s="87"/>
      <c r="L6" s="87"/>
      <c r="M6" s="87">
        <v>0.75</v>
      </c>
      <c r="N6" s="87">
        <v>2.4</v>
      </c>
      <c r="O6" s="87" t="s">
        <v>599</v>
      </c>
    </row>
    <row r="7" spans="2:17">
      <c r="B7" s="87">
        <v>2</v>
      </c>
      <c r="C7" s="87">
        <v>18</v>
      </c>
      <c r="D7" s="87">
        <v>14</v>
      </c>
      <c r="E7" s="87">
        <v>8</v>
      </c>
      <c r="F7" s="87"/>
      <c r="G7" s="87">
        <v>0.25</v>
      </c>
      <c r="H7" s="87">
        <v>1</v>
      </c>
      <c r="I7" s="87"/>
      <c r="J7" s="87">
        <v>4.9000000000000004</v>
      </c>
      <c r="K7" s="87"/>
      <c r="L7" s="87"/>
      <c r="M7" s="87">
        <v>0.75</v>
      </c>
      <c r="N7" s="87">
        <v>2.4</v>
      </c>
      <c r="O7" s="87" t="s">
        <v>600</v>
      </c>
    </row>
    <row r="8" spans="2:17">
      <c r="B8" s="87">
        <v>3</v>
      </c>
      <c r="C8" s="87">
        <v>18</v>
      </c>
      <c r="D8" s="87">
        <v>14</v>
      </c>
      <c r="E8" s="87">
        <v>8</v>
      </c>
      <c r="F8" s="87"/>
      <c r="G8" s="87">
        <v>0.25</v>
      </c>
      <c r="H8" s="87">
        <v>3</v>
      </c>
      <c r="I8" s="87"/>
      <c r="J8" s="87">
        <v>5.42</v>
      </c>
      <c r="K8" s="87">
        <v>0.38</v>
      </c>
      <c r="L8" s="87"/>
      <c r="M8" s="87">
        <v>0.75</v>
      </c>
      <c r="N8" s="87">
        <v>2.4</v>
      </c>
      <c r="O8" s="87" t="s">
        <v>601</v>
      </c>
    </row>
    <row r="9" spans="2:17">
      <c r="B9" s="87">
        <v>20</v>
      </c>
      <c r="C9" s="87">
        <v>18</v>
      </c>
      <c r="D9" s="87">
        <v>14</v>
      </c>
      <c r="E9" s="87">
        <v>8</v>
      </c>
      <c r="F9" s="87"/>
      <c r="G9" s="87">
        <v>0.25</v>
      </c>
      <c r="H9" s="87">
        <v>3</v>
      </c>
      <c r="I9" s="87"/>
      <c r="J9" s="87">
        <v>5.42</v>
      </c>
      <c r="K9" s="87">
        <v>0.38</v>
      </c>
      <c r="L9" s="87"/>
      <c r="M9" s="87">
        <v>0.75</v>
      </c>
      <c r="N9" s="87">
        <v>2.4</v>
      </c>
      <c r="O9" s="87" t="s">
        <v>602</v>
      </c>
    </row>
    <row r="10" spans="2:17">
      <c r="B10" s="87">
        <v>70</v>
      </c>
      <c r="C10" s="87">
        <v>60</v>
      </c>
      <c r="D10" s="87">
        <v>30</v>
      </c>
      <c r="E10" s="87"/>
      <c r="F10" s="87">
        <v>130</v>
      </c>
      <c r="G10" s="87">
        <v>1</v>
      </c>
      <c r="H10" s="87">
        <v>2</v>
      </c>
      <c r="I10" s="87"/>
      <c r="J10" s="87">
        <v>8.26</v>
      </c>
      <c r="K10" s="87">
        <v>0.38</v>
      </c>
      <c r="L10" s="87"/>
      <c r="M10" s="87">
        <v>0.48</v>
      </c>
      <c r="N10" s="87">
        <v>1.2</v>
      </c>
      <c r="O10" s="87" t="s">
        <v>603</v>
      </c>
    </row>
    <row r="11" spans="2:17">
      <c r="B11" s="87">
        <v>150</v>
      </c>
      <c r="C11" s="87">
        <v>108</v>
      </c>
      <c r="D11" s="87"/>
      <c r="E11" s="87"/>
      <c r="F11" s="87">
        <v>130</v>
      </c>
      <c r="G11" s="87">
        <v>1</v>
      </c>
      <c r="H11" s="87">
        <v>2</v>
      </c>
      <c r="I11" s="87"/>
      <c r="J11" s="87">
        <v>11.37</v>
      </c>
      <c r="K11" s="87">
        <v>0.39</v>
      </c>
      <c r="L11" s="87"/>
      <c r="M11" s="87">
        <v>0.48</v>
      </c>
      <c r="N11" s="87">
        <v>1.2</v>
      </c>
      <c r="O11" s="87" t="s">
        <v>604</v>
      </c>
    </row>
    <row r="12" spans="2:17">
      <c r="B12" s="87">
        <v>150</v>
      </c>
      <c r="C12" s="87">
        <v>108</v>
      </c>
      <c r="D12" s="87"/>
      <c r="E12" s="87"/>
      <c r="F12" s="87">
        <v>165</v>
      </c>
      <c r="G12" s="87">
        <v>1</v>
      </c>
      <c r="H12" s="87">
        <v>90</v>
      </c>
      <c r="I12" s="87"/>
      <c r="J12" s="87">
        <v>75.78</v>
      </c>
      <c r="K12" s="87">
        <v>0.79</v>
      </c>
      <c r="L12" s="87"/>
      <c r="M12" s="87">
        <v>0.48</v>
      </c>
      <c r="N12" s="87">
        <v>1.2</v>
      </c>
      <c r="O12" s="87" t="s">
        <v>605</v>
      </c>
    </row>
    <row r="13" spans="2:17">
      <c r="B13" s="87"/>
      <c r="C13" s="87"/>
      <c r="D13" s="87"/>
      <c r="E13" s="87"/>
      <c r="F13" s="87"/>
      <c r="G13" s="89">
        <v>1</v>
      </c>
      <c r="H13" s="87">
        <v>90</v>
      </c>
      <c r="I13" s="87"/>
      <c r="J13" s="87">
        <v>137.32</v>
      </c>
      <c r="K13" s="87">
        <v>0.91</v>
      </c>
      <c r="L13" s="87"/>
      <c r="M13" s="87">
        <v>0.48</v>
      </c>
      <c r="N13" s="87">
        <v>1.2</v>
      </c>
      <c r="O13" s="87" t="s">
        <v>606</v>
      </c>
    </row>
    <row r="14" spans="2:17">
      <c r="B14" s="87">
        <f>10/16</f>
        <v>0.625</v>
      </c>
      <c r="C14" s="87">
        <v>15</v>
      </c>
      <c r="D14" s="87">
        <v>12</v>
      </c>
      <c r="E14" s="87">
        <v>0.75</v>
      </c>
      <c r="F14" s="87"/>
      <c r="G14" s="87">
        <v>0.25</v>
      </c>
      <c r="H14" s="87">
        <v>0</v>
      </c>
      <c r="I14" s="87"/>
      <c r="J14" s="88">
        <v>2.92</v>
      </c>
      <c r="K14" s="87"/>
      <c r="L14" s="87"/>
      <c r="M14" s="87">
        <v>0.75</v>
      </c>
      <c r="N14" s="87">
        <v>2.4</v>
      </c>
      <c r="O14" s="87" t="s">
        <v>607</v>
      </c>
    </row>
    <row r="15" spans="2:17">
      <c r="B15" s="87">
        <v>1</v>
      </c>
      <c r="C15" s="87">
        <v>15</v>
      </c>
      <c r="D15" s="87">
        <v>12</v>
      </c>
      <c r="E15" s="87">
        <v>0.75</v>
      </c>
      <c r="F15" s="87"/>
      <c r="G15" s="87">
        <v>0.25</v>
      </c>
      <c r="H15" s="87">
        <v>0</v>
      </c>
      <c r="I15" s="87"/>
      <c r="J15" s="88">
        <v>3.11</v>
      </c>
      <c r="K15" s="87"/>
      <c r="L15" s="87"/>
      <c r="M15" s="87">
        <v>0.75</v>
      </c>
      <c r="N15" s="87">
        <v>2.4</v>
      </c>
      <c r="O15" s="87" t="s">
        <v>608</v>
      </c>
    </row>
    <row r="16" spans="2:17">
      <c r="B16" s="87">
        <f>10/16</f>
        <v>0.625</v>
      </c>
      <c r="C16" s="87">
        <v>18</v>
      </c>
      <c r="D16" s="87">
        <v>14</v>
      </c>
      <c r="E16" s="87">
        <v>8</v>
      </c>
      <c r="F16" s="87"/>
      <c r="G16" s="87">
        <v>0.25</v>
      </c>
      <c r="H16" s="87">
        <v>0</v>
      </c>
      <c r="I16" s="87"/>
      <c r="J16" s="87">
        <v>3.7</v>
      </c>
      <c r="K16" s="87"/>
      <c r="L16" s="87"/>
      <c r="M16" s="87">
        <v>0.75</v>
      </c>
      <c r="N16" s="87">
        <v>2.4</v>
      </c>
      <c r="O16" s="87" t="s">
        <v>609</v>
      </c>
    </row>
    <row r="17" spans="2:15">
      <c r="B17" s="87">
        <v>1</v>
      </c>
      <c r="C17" s="87">
        <v>18</v>
      </c>
      <c r="D17" s="87">
        <v>14</v>
      </c>
      <c r="E17" s="87">
        <v>8</v>
      </c>
      <c r="F17" s="87"/>
      <c r="G17" s="87">
        <v>0.25</v>
      </c>
      <c r="H17" s="87">
        <v>0</v>
      </c>
      <c r="I17" s="87"/>
      <c r="J17" s="87">
        <v>3.81</v>
      </c>
      <c r="K17" s="87"/>
      <c r="L17" s="87"/>
      <c r="M17" s="87">
        <v>0.75</v>
      </c>
      <c r="N17" s="87">
        <v>2.4</v>
      </c>
      <c r="O17" s="87" t="s">
        <v>610</v>
      </c>
    </row>
    <row r="18" spans="2:15">
      <c r="B18" s="87">
        <v>2</v>
      </c>
      <c r="C18" s="87">
        <v>18</v>
      </c>
      <c r="D18" s="87">
        <v>14</v>
      </c>
      <c r="E18" s="87">
        <v>8</v>
      </c>
      <c r="F18" s="87"/>
      <c r="G18" s="87">
        <v>0.25</v>
      </c>
      <c r="H18" s="87">
        <v>1</v>
      </c>
      <c r="I18" s="87"/>
      <c r="J18" s="87">
        <v>5.35</v>
      </c>
      <c r="K18" s="87"/>
      <c r="L18" s="87"/>
      <c r="M18" s="87">
        <v>0.75</v>
      </c>
      <c r="N18" s="87">
        <v>2.4</v>
      </c>
      <c r="O18" s="87" t="s">
        <v>611</v>
      </c>
    </row>
    <row r="19" spans="2:15">
      <c r="B19" s="87">
        <v>3</v>
      </c>
      <c r="C19" s="87">
        <v>18</v>
      </c>
      <c r="D19" s="87">
        <v>14</v>
      </c>
      <c r="E19" s="87">
        <v>8</v>
      </c>
      <c r="F19" s="87"/>
      <c r="G19" s="87">
        <v>0.25</v>
      </c>
      <c r="H19" s="87">
        <v>3</v>
      </c>
      <c r="I19" s="87"/>
      <c r="J19" s="87">
        <v>5.95</v>
      </c>
      <c r="K19" s="87"/>
      <c r="L19" s="87"/>
      <c r="M19" s="87">
        <v>0.75</v>
      </c>
      <c r="N19" s="87">
        <v>2.4</v>
      </c>
      <c r="O19" s="87" t="s">
        <v>612</v>
      </c>
    </row>
    <row r="20" spans="2:15">
      <c r="B20" s="87">
        <v>20</v>
      </c>
      <c r="C20" s="87">
        <v>18</v>
      </c>
      <c r="D20" s="87">
        <v>14</v>
      </c>
      <c r="E20" s="87">
        <v>8</v>
      </c>
      <c r="F20" s="87"/>
      <c r="G20" s="87">
        <v>0.25</v>
      </c>
      <c r="H20" s="87">
        <v>3</v>
      </c>
      <c r="I20" s="87"/>
      <c r="J20" s="87">
        <v>5.95</v>
      </c>
      <c r="K20" s="87">
        <v>0.38</v>
      </c>
      <c r="L20" s="87"/>
      <c r="M20" s="87">
        <v>0.75</v>
      </c>
      <c r="N20" s="87">
        <v>2.4</v>
      </c>
      <c r="O20" s="87" t="s">
        <v>613</v>
      </c>
    </row>
    <row r="22" spans="2:15">
      <c r="B22" s="85" t="s">
        <v>614</v>
      </c>
      <c r="C22" s="85" t="s">
        <v>615</v>
      </c>
      <c r="D22" s="85" t="s">
        <v>616</v>
      </c>
      <c r="E22" s="85" t="s">
        <v>617</v>
      </c>
      <c r="F22" s="85" t="s">
        <v>618</v>
      </c>
      <c r="G22" s="85"/>
      <c r="H22" s="85"/>
      <c r="I22" s="85"/>
      <c r="J22" s="85" t="s">
        <v>57</v>
      </c>
    </row>
    <row r="23" spans="2:15">
      <c r="B23" s="87" t="s">
        <v>158</v>
      </c>
      <c r="C23" s="87">
        <v>0.15</v>
      </c>
      <c r="D23" s="87"/>
      <c r="E23" s="87">
        <v>0.15</v>
      </c>
      <c r="F23" s="90">
        <v>0.3</v>
      </c>
      <c r="G23" s="87"/>
      <c r="H23" s="87"/>
      <c r="I23" s="87"/>
      <c r="J23" s="87"/>
    </row>
    <row r="24" spans="2:15">
      <c r="B24" s="87" t="s">
        <v>619</v>
      </c>
      <c r="C24" s="87">
        <v>0.12</v>
      </c>
      <c r="D24" s="87"/>
      <c r="E24" s="87">
        <v>0.12</v>
      </c>
      <c r="F24" s="90">
        <v>0.3</v>
      </c>
      <c r="G24" s="87"/>
      <c r="H24" s="87"/>
      <c r="I24" s="87"/>
      <c r="J24" s="87"/>
    </row>
    <row r="25" spans="2:15">
      <c r="B25" s="87" t="s">
        <v>620</v>
      </c>
      <c r="C25" s="87">
        <v>0.08</v>
      </c>
      <c r="D25" s="87">
        <v>0.15</v>
      </c>
      <c r="E25" s="87">
        <v>0.08</v>
      </c>
      <c r="F25" s="90">
        <v>0.3</v>
      </c>
      <c r="G25" s="87"/>
      <c r="H25" s="87"/>
      <c r="I25" s="87"/>
      <c r="J25" s="87" t="s">
        <v>621</v>
      </c>
    </row>
    <row r="26" spans="2:15">
      <c r="B26" s="91" t="s">
        <v>622</v>
      </c>
      <c r="C26" s="87">
        <v>0.08</v>
      </c>
      <c r="D26" s="87"/>
      <c r="E26" s="87">
        <v>0.08</v>
      </c>
      <c r="F26" s="90">
        <v>0.3</v>
      </c>
      <c r="G26" s="87"/>
      <c r="H26" s="87"/>
      <c r="I26" s="87"/>
      <c r="J26" s="87"/>
    </row>
    <row r="27" spans="2:15">
      <c r="B27" s="87" t="s">
        <v>623</v>
      </c>
      <c r="C27" s="87">
        <v>0.08</v>
      </c>
      <c r="D27" s="87"/>
      <c r="E27" s="87">
        <v>0.08</v>
      </c>
      <c r="F27" s="90">
        <v>0.3</v>
      </c>
      <c r="G27" s="87"/>
      <c r="H27" s="87"/>
      <c r="I27" s="87"/>
      <c r="J27" s="87"/>
    </row>
    <row r="28" spans="2:15">
      <c r="B28" s="87" t="s">
        <v>624</v>
      </c>
      <c r="C28" s="87">
        <v>0.17</v>
      </c>
      <c r="D28" s="87"/>
      <c r="E28" s="87">
        <v>0.17</v>
      </c>
      <c r="F28" s="90">
        <v>0.3</v>
      </c>
      <c r="G28" s="87"/>
      <c r="H28" s="87"/>
      <c r="I28" s="87"/>
      <c r="J28" s="87"/>
    </row>
    <row r="29" spans="2:15">
      <c r="B29" s="87" t="s">
        <v>625</v>
      </c>
      <c r="C29" s="87">
        <v>0.08</v>
      </c>
      <c r="D29" s="87"/>
      <c r="E29" s="87">
        <v>0.08</v>
      </c>
      <c r="F29" s="90">
        <v>0.3</v>
      </c>
      <c r="G29" s="87"/>
      <c r="H29" s="87"/>
      <c r="I29" s="87"/>
      <c r="J29" s="87"/>
    </row>
    <row r="30" spans="2:15">
      <c r="B30" s="87" t="s">
        <v>626</v>
      </c>
      <c r="C30" s="87">
        <v>0.15</v>
      </c>
      <c r="D30" s="87">
        <v>0.08</v>
      </c>
      <c r="E30" s="87">
        <v>0.15</v>
      </c>
      <c r="F30" s="90">
        <v>0.3</v>
      </c>
      <c r="G30" s="87"/>
      <c r="H30" s="87"/>
      <c r="I30" s="87"/>
      <c r="J30" s="87" t="s">
        <v>627</v>
      </c>
    </row>
    <row r="31" spans="2:15">
      <c r="B31" s="87" t="s">
        <v>628</v>
      </c>
      <c r="C31" s="87">
        <v>0.15</v>
      </c>
      <c r="D31" s="87">
        <v>0.1</v>
      </c>
      <c r="E31" s="87">
        <v>0.15</v>
      </c>
      <c r="F31" s="90">
        <v>0.3</v>
      </c>
      <c r="G31" s="87"/>
      <c r="H31" s="87"/>
      <c r="I31" s="87"/>
      <c r="J31" s="87" t="s">
        <v>629</v>
      </c>
    </row>
    <row r="32" spans="2:15">
      <c r="B32" s="87" t="s">
        <v>630</v>
      </c>
      <c r="C32" s="87">
        <v>0.15</v>
      </c>
      <c r="D32" s="87"/>
      <c r="E32" s="87">
        <v>0.15</v>
      </c>
      <c r="F32" s="90">
        <v>0.3</v>
      </c>
      <c r="G32" s="87"/>
      <c r="H32" s="87"/>
      <c r="I32" s="87"/>
      <c r="J32" s="87"/>
    </row>
    <row r="33" spans="2:10">
      <c r="B33" s="87" t="s">
        <v>631</v>
      </c>
      <c r="C33" s="87">
        <v>0.08</v>
      </c>
      <c r="D33" s="87">
        <v>0.15</v>
      </c>
      <c r="E33" s="87">
        <v>0.08</v>
      </c>
      <c r="F33" s="90">
        <v>0.3</v>
      </c>
      <c r="G33" s="87"/>
      <c r="H33" s="87"/>
      <c r="I33" s="87"/>
      <c r="J33" s="87" t="s">
        <v>621</v>
      </c>
    </row>
    <row r="34" spans="2:10">
      <c r="B34" s="87" t="s">
        <v>632</v>
      </c>
      <c r="C34" s="87">
        <v>0.15</v>
      </c>
      <c r="D34" s="87"/>
      <c r="E34" s="87">
        <v>0.15</v>
      </c>
      <c r="F34" s="90">
        <v>0.3</v>
      </c>
      <c r="G34" s="87"/>
      <c r="H34" s="87"/>
      <c r="I34" s="87"/>
      <c r="J34" s="87"/>
    </row>
    <row r="35" spans="2:10">
      <c r="B35" s="87" t="s">
        <v>633</v>
      </c>
      <c r="C35" s="87">
        <v>0.2</v>
      </c>
      <c r="D35" s="87">
        <v>0.05</v>
      </c>
      <c r="E35" s="87">
        <v>0.2</v>
      </c>
      <c r="F35" s="90">
        <v>0.3</v>
      </c>
      <c r="G35" s="87"/>
      <c r="H35" s="87"/>
      <c r="I35" s="87"/>
      <c r="J35" s="87" t="s">
        <v>634</v>
      </c>
    </row>
    <row r="36" spans="2:10">
      <c r="B36" s="87" t="s">
        <v>635</v>
      </c>
      <c r="C36" s="87">
        <v>0.15</v>
      </c>
      <c r="D36" s="87"/>
      <c r="E36" s="87">
        <v>0.15</v>
      </c>
      <c r="F36" s="90">
        <v>0.3</v>
      </c>
      <c r="G36" s="87"/>
      <c r="H36" s="87"/>
      <c r="I36" s="87"/>
      <c r="J36" s="87"/>
    </row>
    <row r="37" spans="2:10">
      <c r="B37" s="87" t="s">
        <v>636</v>
      </c>
      <c r="C37" s="87">
        <v>0.15</v>
      </c>
      <c r="D37" s="87"/>
      <c r="E37" s="87">
        <v>0.15</v>
      </c>
      <c r="F37" s="90">
        <v>0.3</v>
      </c>
      <c r="G37" s="87"/>
      <c r="H37" s="87"/>
      <c r="I37" s="87"/>
      <c r="J37" s="87"/>
    </row>
    <row r="38" spans="2:10">
      <c r="B38" s="87" t="s">
        <v>637</v>
      </c>
      <c r="C38" s="87">
        <v>0.15</v>
      </c>
      <c r="D38" s="87"/>
      <c r="E38" s="87">
        <v>0.15</v>
      </c>
      <c r="F38" s="90">
        <v>0.3</v>
      </c>
      <c r="G38" s="87"/>
      <c r="H38" s="87"/>
      <c r="I38" s="87"/>
      <c r="J38" s="87"/>
    </row>
    <row r="39" spans="2:10">
      <c r="B39" s="87" t="s">
        <v>638</v>
      </c>
      <c r="C39" s="87">
        <v>0.15</v>
      </c>
      <c r="D39" s="87"/>
      <c r="E39" s="87">
        <v>0.15</v>
      </c>
      <c r="F39" s="90">
        <v>0.3</v>
      </c>
      <c r="G39" s="87"/>
      <c r="H39" s="87"/>
      <c r="I39" s="87"/>
      <c r="J39" s="87"/>
    </row>
    <row r="40" spans="2:10">
      <c r="B40" s="87" t="s">
        <v>639</v>
      </c>
      <c r="C40" s="87">
        <v>0.15</v>
      </c>
      <c r="D40" s="87"/>
      <c r="E40" s="87">
        <v>0.15</v>
      </c>
      <c r="F40" s="90">
        <v>0.3</v>
      </c>
      <c r="G40" s="87"/>
      <c r="H40" s="87"/>
      <c r="I40" s="87"/>
      <c r="J40" s="87"/>
    </row>
    <row r="41" spans="2:10">
      <c r="B41" s="87" t="s">
        <v>640</v>
      </c>
      <c r="C41" s="87">
        <v>0.15</v>
      </c>
      <c r="D41" s="87"/>
      <c r="E41" s="87">
        <v>0.15</v>
      </c>
      <c r="F41" s="90">
        <v>0.3</v>
      </c>
      <c r="G41" s="87"/>
      <c r="H41" s="87"/>
      <c r="I41" s="87"/>
      <c r="J41" s="87"/>
    </row>
    <row r="42" spans="2:10">
      <c r="B42" s="87" t="s">
        <v>641</v>
      </c>
      <c r="C42" s="87">
        <v>0.15</v>
      </c>
      <c r="D42" s="87"/>
      <c r="E42" s="87">
        <v>0.15</v>
      </c>
      <c r="F42" s="90">
        <v>0.3</v>
      </c>
      <c r="G42" s="87"/>
      <c r="H42" s="87"/>
      <c r="I42" s="87"/>
      <c r="J42" s="87"/>
    </row>
    <row r="43" spans="2:10">
      <c r="B43" s="87" t="s">
        <v>642</v>
      </c>
      <c r="C43" s="87">
        <v>0.15</v>
      </c>
      <c r="D43" s="87"/>
      <c r="E43" s="87">
        <v>0.15</v>
      </c>
      <c r="F43" s="90">
        <v>0.3</v>
      </c>
      <c r="G43" s="87"/>
      <c r="H43" s="87"/>
      <c r="I43" s="87"/>
      <c r="J43" s="87"/>
    </row>
    <row r="44" spans="2:10">
      <c r="B44" s="87" t="s">
        <v>643</v>
      </c>
      <c r="C44" s="87">
        <v>0.15</v>
      </c>
      <c r="D44" s="87"/>
      <c r="E44" s="87">
        <v>0.15</v>
      </c>
      <c r="F44" s="90">
        <v>0.3</v>
      </c>
      <c r="G44" s="87"/>
      <c r="H44" s="87"/>
      <c r="I44" s="87"/>
      <c r="J44" s="87"/>
    </row>
    <row r="45" spans="2:10">
      <c r="B45" s="87" t="s">
        <v>644</v>
      </c>
      <c r="C45" s="87">
        <v>0.15</v>
      </c>
      <c r="D45" s="87"/>
      <c r="E45" s="87">
        <v>0.15</v>
      </c>
      <c r="F45" s="90">
        <v>0.3</v>
      </c>
      <c r="G45" s="87"/>
      <c r="H45" s="87"/>
      <c r="I45" s="87"/>
      <c r="J45" s="87"/>
    </row>
    <row r="46" spans="2:10">
      <c r="B46" s="87" t="s">
        <v>645</v>
      </c>
      <c r="C46" s="87">
        <v>0.15</v>
      </c>
      <c r="D46" s="87"/>
      <c r="E46" s="87">
        <v>0.15</v>
      </c>
      <c r="F46" s="90">
        <v>0.3</v>
      </c>
      <c r="G46" s="87"/>
      <c r="H46" s="87"/>
      <c r="I46" s="87"/>
      <c r="J46" s="87"/>
    </row>
    <row r="47" spans="2:10">
      <c r="B47" s="87" t="s">
        <v>646</v>
      </c>
      <c r="C47" s="87">
        <v>0.16</v>
      </c>
      <c r="D47" s="87">
        <v>0.03</v>
      </c>
      <c r="E47" s="87">
        <v>0.16</v>
      </c>
      <c r="F47" s="90">
        <v>2</v>
      </c>
      <c r="G47" s="87"/>
      <c r="H47" s="87"/>
      <c r="I47" s="87"/>
      <c r="J47" s="87" t="s">
        <v>647</v>
      </c>
    </row>
    <row r="51" spans="2:3">
      <c r="B51" s="87" t="s">
        <v>648</v>
      </c>
      <c r="C51" s="87">
        <v>27</v>
      </c>
    </row>
    <row r="52" spans="2:3">
      <c r="B52" s="87" t="s">
        <v>649</v>
      </c>
      <c r="C52" s="87">
        <v>57</v>
      </c>
    </row>
  </sheetData>
  <phoneticPr fontId="4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2065187536243"/>
  </sheetPr>
  <dimension ref="A1:AE59"/>
  <sheetViews>
    <sheetView workbookViewId="0">
      <pane xSplit="3" ySplit="6" topLeftCell="D7" activePane="bottomRight" state="frozen"/>
      <selection pane="topRight"/>
      <selection pane="bottomLeft"/>
      <selection pane="bottomRight" activeCell="P16" sqref="P16:Q16"/>
    </sheetView>
  </sheetViews>
  <sheetFormatPr defaultColWidth="10.42578125" defaultRowHeight="15" customHeight="1"/>
  <cols>
    <col min="1" max="1" width="6.42578125" style="41" customWidth="1"/>
    <col min="2" max="2" width="9.7109375" style="41" customWidth="1"/>
    <col min="3" max="3" width="11.85546875" style="41" customWidth="1"/>
    <col min="4" max="4" width="13" style="41" customWidth="1"/>
    <col min="5" max="5" width="14.85546875" style="41" customWidth="1"/>
    <col min="6" max="6" width="13.28515625" style="41" customWidth="1"/>
    <col min="7" max="9" width="10.42578125" style="41" customWidth="1"/>
    <col min="10" max="13" width="8.85546875" style="41" customWidth="1"/>
    <col min="14" max="14" width="12.28515625" style="41" customWidth="1"/>
    <col min="15" max="17" width="9.42578125" style="41" customWidth="1"/>
    <col min="18" max="18" width="10.42578125" style="41" customWidth="1"/>
    <col min="19" max="19" width="10.28515625" style="41" customWidth="1"/>
    <col min="20" max="31" width="9.42578125" style="41" customWidth="1"/>
    <col min="32" max="16384" width="10.42578125" style="41"/>
  </cols>
  <sheetData>
    <row r="1" spans="1:31" ht="15" customHeight="1">
      <c r="N1" s="41" t="s">
        <v>650</v>
      </c>
      <c r="O1" s="42">
        <f t="shared" ref="O1:AB1" si="0">O6-45</f>
        <v>46139</v>
      </c>
      <c r="P1" s="42">
        <f t="shared" si="0"/>
        <v>46146</v>
      </c>
      <c r="Q1" s="42">
        <f t="shared" si="0"/>
        <v>46153</v>
      </c>
      <c r="R1" s="42">
        <f t="shared" si="0"/>
        <v>46160</v>
      </c>
      <c r="S1" s="42">
        <f t="shared" si="0"/>
        <v>46167</v>
      </c>
      <c r="T1" s="42">
        <f t="shared" si="0"/>
        <v>46174</v>
      </c>
      <c r="U1" s="42">
        <f t="shared" si="0"/>
        <v>46181</v>
      </c>
      <c r="V1" s="42">
        <f t="shared" si="0"/>
        <v>46188</v>
      </c>
      <c r="W1" s="42">
        <f t="shared" si="0"/>
        <v>46195</v>
      </c>
      <c r="X1" s="42">
        <f t="shared" si="0"/>
        <v>46202</v>
      </c>
      <c r="Y1" s="42">
        <f t="shared" si="0"/>
        <v>46209</v>
      </c>
      <c r="Z1" s="42">
        <f t="shared" si="0"/>
        <v>46216</v>
      </c>
      <c r="AA1" s="42">
        <f t="shared" si="0"/>
        <v>46223</v>
      </c>
      <c r="AB1" s="42">
        <f t="shared" si="0"/>
        <v>46230</v>
      </c>
      <c r="AC1" s="42"/>
      <c r="AD1" s="42"/>
      <c r="AE1" s="42"/>
    </row>
    <row r="2" spans="1:31" ht="15" customHeight="1">
      <c r="P2" s="43"/>
    </row>
    <row r="3" spans="1:31" ht="15" customHeight="1">
      <c r="N3" s="41" t="s">
        <v>651</v>
      </c>
      <c r="O3" s="44">
        <f t="shared" ref="O3:AB3" si="1">H42</f>
        <v>0.2</v>
      </c>
      <c r="P3" s="44">
        <f t="shared" si="1"/>
        <v>0.37</v>
      </c>
      <c r="Q3" s="44">
        <f t="shared" si="1"/>
        <v>0.36</v>
      </c>
      <c r="R3" s="44">
        <f t="shared" si="1"/>
        <v>2.86</v>
      </c>
      <c r="S3" s="44">
        <f t="shared" si="1"/>
        <v>0.71</v>
      </c>
      <c r="T3" s="44">
        <f t="shared" si="1"/>
        <v>0.65</v>
      </c>
      <c r="U3" s="44">
        <f t="shared" si="1"/>
        <v>0.61</v>
      </c>
      <c r="V3" s="44">
        <f t="shared" si="1"/>
        <v>0.86</v>
      </c>
      <c r="W3" s="44">
        <f t="shared" si="1"/>
        <v>0.98</v>
      </c>
      <c r="X3" s="44">
        <f t="shared" si="1"/>
        <v>1.05</v>
      </c>
      <c r="Y3" s="44">
        <f t="shared" si="1"/>
        <v>1.1200000000000001</v>
      </c>
      <c r="Z3" s="44">
        <f t="shared" si="1"/>
        <v>1.32</v>
      </c>
      <c r="AA3" s="44">
        <f t="shared" si="1"/>
        <v>0.89</v>
      </c>
      <c r="AB3" s="44">
        <f t="shared" si="1"/>
        <v>0.67</v>
      </c>
      <c r="AC3" s="44"/>
      <c r="AD3" s="44"/>
      <c r="AE3" s="44"/>
    </row>
    <row r="4" spans="1:31" ht="15" customHeight="1">
      <c r="A4" s="45" t="s">
        <v>652</v>
      </c>
      <c r="B4" s="45"/>
      <c r="C4" s="45"/>
      <c r="D4" s="45"/>
      <c r="F4" s="41" t="s">
        <v>653</v>
      </c>
      <c r="N4" s="46"/>
      <c r="O4" s="44">
        <v>0.3</v>
      </c>
      <c r="P4" s="44">
        <v>0.5</v>
      </c>
      <c r="Q4" s="44">
        <v>0.8</v>
      </c>
      <c r="R4" s="44">
        <v>1</v>
      </c>
      <c r="S4" s="44">
        <v>1</v>
      </c>
      <c r="T4" s="44">
        <v>1</v>
      </c>
      <c r="U4" s="44">
        <v>1</v>
      </c>
      <c r="V4" s="44">
        <v>1</v>
      </c>
      <c r="W4" s="44">
        <v>1</v>
      </c>
      <c r="X4" s="44">
        <v>1</v>
      </c>
      <c r="Y4" s="44">
        <v>1</v>
      </c>
      <c r="Z4" s="44">
        <v>1</v>
      </c>
      <c r="AA4" s="44">
        <v>1</v>
      </c>
      <c r="AB4" s="44">
        <v>1</v>
      </c>
      <c r="AC4" s="44"/>
      <c r="AD4" s="44"/>
      <c r="AE4" s="44"/>
    </row>
    <row r="5" spans="1:31" ht="15" customHeight="1">
      <c r="N5" s="41" t="s">
        <v>654</v>
      </c>
      <c r="O5" s="41">
        <v>1</v>
      </c>
      <c r="P5" s="41">
        <v>2</v>
      </c>
      <c r="Q5" s="41">
        <v>3</v>
      </c>
      <c r="R5" s="41">
        <v>4</v>
      </c>
      <c r="S5" s="41">
        <v>5</v>
      </c>
      <c r="T5" s="41">
        <v>6</v>
      </c>
      <c r="U5" s="41">
        <v>7</v>
      </c>
      <c r="V5" s="41">
        <v>8</v>
      </c>
      <c r="W5" s="41">
        <v>9</v>
      </c>
      <c r="X5" s="41">
        <v>10</v>
      </c>
      <c r="Y5" s="41">
        <v>11</v>
      </c>
      <c r="Z5" s="41">
        <v>12</v>
      </c>
      <c r="AA5" s="41">
        <v>13</v>
      </c>
      <c r="AB5" s="41">
        <f>AA5+1</f>
        <v>14</v>
      </c>
    </row>
    <row r="6" spans="1:31" ht="36.75" customHeight="1">
      <c r="A6" s="47" t="s">
        <v>655</v>
      </c>
      <c r="B6" s="47" t="s">
        <v>2</v>
      </c>
      <c r="C6" s="47" t="s">
        <v>81</v>
      </c>
      <c r="D6" s="47" t="s">
        <v>656</v>
      </c>
      <c r="E6" s="47" t="s">
        <v>657</v>
      </c>
      <c r="F6" s="47" t="s">
        <v>87</v>
      </c>
      <c r="G6" s="47" t="s">
        <v>658</v>
      </c>
      <c r="H6" s="47" t="s">
        <v>659</v>
      </c>
      <c r="I6" s="47" t="s">
        <v>660</v>
      </c>
      <c r="J6" s="47" t="s">
        <v>661</v>
      </c>
      <c r="K6" s="41" t="s">
        <v>662</v>
      </c>
      <c r="L6" s="48"/>
      <c r="M6" s="48"/>
      <c r="N6" s="49" t="s">
        <v>663</v>
      </c>
      <c r="O6" s="42">
        <v>46184</v>
      </c>
      <c r="P6" s="42">
        <f t="shared" ref="P6:AB6" si="2">O6+7</f>
        <v>46191</v>
      </c>
      <c r="Q6" s="42">
        <f t="shared" si="2"/>
        <v>46198</v>
      </c>
      <c r="R6" s="42">
        <f t="shared" si="2"/>
        <v>46205</v>
      </c>
      <c r="S6" s="42">
        <f t="shared" si="2"/>
        <v>46212</v>
      </c>
      <c r="T6" s="42">
        <f t="shared" si="2"/>
        <v>46219</v>
      </c>
      <c r="U6" s="42">
        <f t="shared" si="2"/>
        <v>46226</v>
      </c>
      <c r="V6" s="42">
        <f t="shared" si="2"/>
        <v>46233</v>
      </c>
      <c r="W6" s="42">
        <f t="shared" si="2"/>
        <v>46240</v>
      </c>
      <c r="X6" s="42">
        <f t="shared" si="2"/>
        <v>46247</v>
      </c>
      <c r="Y6" s="42">
        <f t="shared" si="2"/>
        <v>46254</v>
      </c>
      <c r="Z6" s="42">
        <f t="shared" si="2"/>
        <v>46261</v>
      </c>
      <c r="AA6" s="42">
        <f t="shared" si="2"/>
        <v>46268</v>
      </c>
      <c r="AB6" s="42">
        <f t="shared" si="2"/>
        <v>46275</v>
      </c>
      <c r="AC6" s="42"/>
      <c r="AD6" s="42"/>
      <c r="AE6" s="42"/>
    </row>
    <row r="7" spans="1:31" ht="15" customHeight="1">
      <c r="A7" s="50" t="s">
        <v>664</v>
      </c>
      <c r="B7" s="50"/>
      <c r="C7" s="50" t="s">
        <v>20</v>
      </c>
      <c r="D7" s="51"/>
      <c r="E7" s="52"/>
      <c r="F7" s="53" t="s">
        <v>665</v>
      </c>
      <c r="G7" s="54" t="s">
        <v>666</v>
      </c>
      <c r="H7" s="55">
        <v>4</v>
      </c>
      <c r="I7" s="56">
        <f>SUM(O7:AB7)</f>
        <v>686</v>
      </c>
      <c r="J7" s="57">
        <f>$J$9*K7</f>
        <v>56</v>
      </c>
      <c r="K7" s="44">
        <f>'[3]History Email'!B16</f>
        <v>0.75</v>
      </c>
      <c r="L7" s="44"/>
      <c r="M7" s="58"/>
      <c r="O7" s="59">
        <f t="shared" ref="O7:AB7" si="3">$J7*O$4*O$3</f>
        <v>3</v>
      </c>
      <c r="P7" s="59">
        <f t="shared" si="3"/>
        <v>10</v>
      </c>
      <c r="Q7" s="59">
        <f t="shared" si="3"/>
        <v>16</v>
      </c>
      <c r="R7" s="59">
        <f t="shared" si="3"/>
        <v>160</v>
      </c>
      <c r="S7" s="59">
        <f t="shared" si="3"/>
        <v>40</v>
      </c>
      <c r="T7" s="59">
        <f t="shared" si="3"/>
        <v>36</v>
      </c>
      <c r="U7" s="59">
        <f t="shared" si="3"/>
        <v>34</v>
      </c>
      <c r="V7" s="59">
        <f t="shared" si="3"/>
        <v>48</v>
      </c>
      <c r="W7" s="59">
        <f t="shared" si="3"/>
        <v>55</v>
      </c>
      <c r="X7" s="59">
        <f t="shared" si="3"/>
        <v>59</v>
      </c>
      <c r="Y7" s="59">
        <f t="shared" si="3"/>
        <v>63</v>
      </c>
      <c r="Z7" s="59">
        <f t="shared" si="3"/>
        <v>74</v>
      </c>
      <c r="AA7" s="59">
        <f t="shared" si="3"/>
        <v>50</v>
      </c>
      <c r="AB7" s="59">
        <f t="shared" si="3"/>
        <v>38</v>
      </c>
      <c r="AC7" s="59"/>
      <c r="AD7" s="59"/>
      <c r="AE7" s="42"/>
    </row>
    <row r="8" spans="1:31" ht="15" customHeight="1">
      <c r="A8" s="50" t="s">
        <v>664</v>
      </c>
      <c r="B8" s="50"/>
      <c r="C8" s="50" t="s">
        <v>20</v>
      </c>
      <c r="D8" s="51"/>
      <c r="E8" s="52"/>
      <c r="F8" s="53" t="s">
        <v>665</v>
      </c>
      <c r="G8" s="54" t="s">
        <v>667</v>
      </c>
      <c r="H8" s="55">
        <v>3</v>
      </c>
      <c r="I8" s="56">
        <f>SUM(O8:AB8)</f>
        <v>232</v>
      </c>
      <c r="J8" s="57">
        <f>$J$9*K8</f>
        <v>19</v>
      </c>
      <c r="K8" s="44">
        <f>'[3]History Email'!B17</f>
        <v>0.25</v>
      </c>
      <c r="L8" s="44"/>
      <c r="M8" s="58"/>
      <c r="O8" s="59">
        <f t="shared" ref="O8:AB8" si="4">$J8*O$4*O$3</f>
        <v>1</v>
      </c>
      <c r="P8" s="59">
        <f t="shared" si="4"/>
        <v>4</v>
      </c>
      <c r="Q8" s="59">
        <f t="shared" si="4"/>
        <v>5</v>
      </c>
      <c r="R8" s="59">
        <f t="shared" si="4"/>
        <v>54</v>
      </c>
      <c r="S8" s="59">
        <f t="shared" si="4"/>
        <v>13</v>
      </c>
      <c r="T8" s="59">
        <f t="shared" si="4"/>
        <v>12</v>
      </c>
      <c r="U8" s="59">
        <f t="shared" si="4"/>
        <v>12</v>
      </c>
      <c r="V8" s="59">
        <f t="shared" si="4"/>
        <v>16</v>
      </c>
      <c r="W8" s="59">
        <f t="shared" si="4"/>
        <v>19</v>
      </c>
      <c r="X8" s="59">
        <f t="shared" si="4"/>
        <v>20</v>
      </c>
      <c r="Y8" s="59">
        <f t="shared" si="4"/>
        <v>21</v>
      </c>
      <c r="Z8" s="59">
        <f t="shared" si="4"/>
        <v>25</v>
      </c>
      <c r="AA8" s="59">
        <f t="shared" si="4"/>
        <v>17</v>
      </c>
      <c r="AB8" s="59">
        <f t="shared" si="4"/>
        <v>13</v>
      </c>
      <c r="AC8" s="59"/>
      <c r="AD8" s="59"/>
      <c r="AE8" s="42"/>
    </row>
    <row r="9" spans="1:31" ht="15" customHeight="1">
      <c r="A9" s="60"/>
      <c r="B9" s="60" t="s">
        <v>668</v>
      </c>
      <c r="C9" s="50"/>
      <c r="D9" s="60"/>
      <c r="E9" s="60"/>
      <c r="F9" s="60"/>
      <c r="G9" s="60"/>
      <c r="H9" s="60"/>
      <c r="I9" s="60">
        <f>SUM(I7:I8)</f>
        <v>918</v>
      </c>
      <c r="J9" s="61">
        <f>7*7/0.65</f>
        <v>75</v>
      </c>
      <c r="L9" s="62"/>
      <c r="M9" s="58"/>
      <c r="N9" s="41" t="s">
        <v>668</v>
      </c>
      <c r="O9" s="41">
        <f t="shared" ref="O9:AB9" si="5">SUM(O7:O8)</f>
        <v>4</v>
      </c>
      <c r="P9" s="41">
        <f t="shared" si="5"/>
        <v>14</v>
      </c>
      <c r="Q9" s="41">
        <f t="shared" si="5"/>
        <v>21</v>
      </c>
      <c r="R9" s="41">
        <f t="shared" si="5"/>
        <v>214</v>
      </c>
      <c r="S9" s="41">
        <f t="shared" si="5"/>
        <v>53</v>
      </c>
      <c r="T9" s="63">
        <f t="shared" si="5"/>
        <v>48</v>
      </c>
      <c r="U9" s="41">
        <f t="shared" si="5"/>
        <v>46</v>
      </c>
      <c r="V9" s="41">
        <f t="shared" si="5"/>
        <v>64</v>
      </c>
      <c r="W9" s="41">
        <f t="shared" si="5"/>
        <v>74</v>
      </c>
      <c r="X9" s="41">
        <f t="shared" si="5"/>
        <v>79</v>
      </c>
      <c r="Y9" s="41">
        <f t="shared" si="5"/>
        <v>84</v>
      </c>
      <c r="Z9" s="41">
        <f t="shared" si="5"/>
        <v>99</v>
      </c>
      <c r="AA9" s="41">
        <f t="shared" si="5"/>
        <v>67</v>
      </c>
      <c r="AB9" s="41">
        <f t="shared" si="5"/>
        <v>51</v>
      </c>
    </row>
    <row r="12" spans="1:31" ht="15" customHeight="1">
      <c r="O12" s="64"/>
      <c r="P12" s="65" t="s">
        <v>669</v>
      </c>
      <c r="Q12" s="65" t="s">
        <v>670</v>
      </c>
      <c r="R12" s="65"/>
    </row>
    <row r="13" spans="1:31" ht="55.5" customHeight="1">
      <c r="O13" s="66" t="s">
        <v>671</v>
      </c>
      <c r="P13" s="66" t="s">
        <v>672</v>
      </c>
      <c r="Q13" s="66" t="s">
        <v>673</v>
      </c>
      <c r="R13" s="65"/>
    </row>
    <row r="14" spans="1:31" ht="31.5" customHeight="1">
      <c r="A14" s="47" t="s">
        <v>655</v>
      </c>
      <c r="B14" s="47" t="s">
        <v>2</v>
      </c>
      <c r="C14" s="47" t="s">
        <v>81</v>
      </c>
      <c r="D14" s="47" t="s">
        <v>656</v>
      </c>
      <c r="E14" s="47" t="s">
        <v>657</v>
      </c>
      <c r="F14" s="47" t="s">
        <v>87</v>
      </c>
      <c r="G14" s="47" t="s">
        <v>658</v>
      </c>
      <c r="H14" s="47" t="s">
        <v>674</v>
      </c>
      <c r="I14" s="47" t="s">
        <v>660</v>
      </c>
      <c r="J14" s="47" t="s">
        <v>661</v>
      </c>
      <c r="K14" s="67" t="s">
        <v>675</v>
      </c>
      <c r="O14" s="68" t="s">
        <v>676</v>
      </c>
      <c r="P14" s="68" t="s">
        <v>677</v>
      </c>
      <c r="Q14" s="68" t="s">
        <v>677</v>
      </c>
      <c r="R14" s="65"/>
    </row>
    <row r="15" spans="1:31" ht="15" customHeight="1">
      <c r="A15" s="50" t="s">
        <v>664</v>
      </c>
      <c r="B15" s="50"/>
      <c r="C15" s="50" t="s">
        <v>20</v>
      </c>
      <c r="D15" s="51"/>
      <c r="E15" s="52"/>
      <c r="F15" s="53" t="s">
        <v>665</v>
      </c>
      <c r="G15" s="54" t="s">
        <v>666</v>
      </c>
      <c r="H15" s="55">
        <v>4</v>
      </c>
      <c r="I15" s="69">
        <f>ROUNDUP(I7/H15,0)*H15</f>
        <v>688</v>
      </c>
      <c r="J15" s="60">
        <f>J7</f>
        <v>56</v>
      </c>
      <c r="K15" s="70">
        <f>I15*6+I16*8</f>
        <v>6000</v>
      </c>
      <c r="O15" s="68">
        <f>SUM(P15:S15)</f>
        <v>688</v>
      </c>
      <c r="P15" s="68">
        <f>ROUNDUP(SUM(O7:V7)/H15,0)*H15</f>
        <v>348</v>
      </c>
      <c r="Q15" s="68">
        <f>I15-P15</f>
        <v>340</v>
      </c>
      <c r="R15" s="65"/>
    </row>
    <row r="16" spans="1:31" ht="15" customHeight="1">
      <c r="A16" s="50" t="s">
        <v>664</v>
      </c>
      <c r="B16" s="50"/>
      <c r="C16" s="50" t="s">
        <v>20</v>
      </c>
      <c r="D16" s="51"/>
      <c r="E16" s="52"/>
      <c r="F16" s="53" t="s">
        <v>665</v>
      </c>
      <c r="G16" s="54" t="s">
        <v>667</v>
      </c>
      <c r="H16" s="55">
        <v>3</v>
      </c>
      <c r="I16" s="69">
        <f>ROUNDUP(I8/H16,0)*H16</f>
        <v>234</v>
      </c>
      <c r="J16" s="60">
        <f>J8</f>
        <v>19</v>
      </c>
      <c r="L16" s="44"/>
      <c r="O16" s="68">
        <f>SUM(P16:S16)</f>
        <v>234</v>
      </c>
      <c r="P16" s="68">
        <f>ROUNDUP(SUM(O8:V8)/H16,0)*H16</f>
        <v>117</v>
      </c>
      <c r="Q16" s="68">
        <f>I16-P16</f>
        <v>117</v>
      </c>
      <c r="R16" s="65"/>
    </row>
    <row r="17" spans="1:28" ht="15" customHeight="1">
      <c r="A17" s="60"/>
      <c r="B17" s="60" t="s">
        <v>668</v>
      </c>
      <c r="C17" s="60"/>
      <c r="D17" s="60"/>
      <c r="E17" s="60"/>
      <c r="F17" s="60"/>
      <c r="G17" s="60"/>
      <c r="H17" s="60"/>
      <c r="I17" s="69">
        <f>SUM(I15:I16)</f>
        <v>922</v>
      </c>
      <c r="J17" s="60">
        <f>SUM(J15:J16)</f>
        <v>75</v>
      </c>
      <c r="O17" s="68">
        <f t="shared" ref="O17:Q17" si="6">SUM(O15:O16)</f>
        <v>922</v>
      </c>
      <c r="P17" s="68">
        <f t="shared" si="6"/>
        <v>465</v>
      </c>
      <c r="Q17" s="68">
        <f t="shared" si="6"/>
        <v>457</v>
      </c>
      <c r="R17" s="65"/>
    </row>
    <row r="18" spans="1:28" ht="15" customHeight="1">
      <c r="P18" s="41">
        <f>P19-O19</f>
        <v>91</v>
      </c>
      <c r="Q18" s="65"/>
      <c r="R18" s="65"/>
    </row>
    <row r="19" spans="1:28" ht="15" customHeight="1">
      <c r="O19" s="46">
        <v>46048</v>
      </c>
      <c r="P19" s="71">
        <v>46139</v>
      </c>
      <c r="Q19" s="71">
        <v>46167</v>
      </c>
      <c r="R19" s="65"/>
      <c r="AB19" s="46"/>
    </row>
    <row r="20" spans="1:28" ht="15" customHeight="1">
      <c r="O20" s="46" t="s">
        <v>678</v>
      </c>
      <c r="P20" s="72">
        <f>P19+45</f>
        <v>46184</v>
      </c>
      <c r="Q20" s="72">
        <f>Q19+45</f>
        <v>46212</v>
      </c>
      <c r="R20" s="65"/>
      <c r="AB20" s="46"/>
    </row>
    <row r="21" spans="1:28" ht="15" customHeight="1">
      <c r="O21" s="46"/>
      <c r="P21" s="46"/>
      <c r="Q21" s="46"/>
      <c r="R21" s="46"/>
      <c r="S21" s="46"/>
      <c r="AB21" s="46"/>
    </row>
    <row r="23" spans="1:28" ht="15" customHeight="1">
      <c r="B23" s="33"/>
      <c r="C23" s="29"/>
      <c r="M23" s="29"/>
    </row>
    <row r="24" spans="1:28" ht="15" customHeight="1">
      <c r="B24" s="33"/>
      <c r="C24" s="29"/>
      <c r="I24" s="44"/>
      <c r="L24" s="44"/>
      <c r="M24" s="29"/>
      <c r="N24" s="73"/>
    </row>
    <row r="25" spans="1:28" ht="15" customHeight="1">
      <c r="B25" s="33"/>
      <c r="C25" s="29"/>
      <c r="I25" s="44"/>
      <c r="L25" s="44"/>
      <c r="M25" s="29"/>
    </row>
    <row r="26" spans="1:28" ht="15" customHeight="1">
      <c r="B26" s="33"/>
      <c r="C26" s="29"/>
      <c r="L26" s="44"/>
      <c r="M26" s="29"/>
    </row>
    <row r="27" spans="1:28" ht="12.95" customHeight="1">
      <c r="A27" s="74"/>
      <c r="B27" s="75" t="s">
        <v>679</v>
      </c>
      <c r="C27" s="75" t="s">
        <v>680</v>
      </c>
      <c r="L27" s="73"/>
      <c r="M27" s="29"/>
    </row>
    <row r="28" spans="1:28" ht="15" customHeight="1">
      <c r="B28" s="33"/>
      <c r="C28" s="29"/>
      <c r="L28" s="44"/>
      <c r="M28" s="29"/>
    </row>
    <row r="29" spans="1:28" ht="15" customHeight="1">
      <c r="G29" s="76">
        <v>46179</v>
      </c>
      <c r="H29" s="76">
        <v>46186</v>
      </c>
      <c r="I29" s="76">
        <v>46193</v>
      </c>
      <c r="J29" s="76">
        <v>46200</v>
      </c>
      <c r="K29" s="76">
        <v>46207</v>
      </c>
      <c r="L29" s="76">
        <v>46214</v>
      </c>
      <c r="M29" s="76">
        <v>46221</v>
      </c>
      <c r="N29" s="76">
        <v>46228</v>
      </c>
      <c r="O29" s="76">
        <v>46235</v>
      </c>
      <c r="P29" s="76">
        <v>46242</v>
      </c>
      <c r="Q29" s="76">
        <v>46249</v>
      </c>
      <c r="R29" s="76">
        <v>46256</v>
      </c>
      <c r="S29" s="76">
        <v>46263</v>
      </c>
      <c r="T29" s="76">
        <v>46270</v>
      </c>
      <c r="U29" s="76">
        <v>46277</v>
      </c>
      <c r="V29" s="76">
        <v>46284</v>
      </c>
      <c r="W29" s="76">
        <v>46291</v>
      </c>
    </row>
    <row r="30" spans="1:28" ht="15" customHeight="1">
      <c r="D30" s="41" t="s">
        <v>657</v>
      </c>
      <c r="E30" s="41" t="s">
        <v>87</v>
      </c>
      <c r="G30" s="77">
        <v>202619</v>
      </c>
      <c r="H30" s="78">
        <v>202620</v>
      </c>
      <c r="I30" s="77">
        <v>202621</v>
      </c>
      <c r="J30" s="77">
        <v>202622</v>
      </c>
      <c r="K30" s="77">
        <v>202623</v>
      </c>
      <c r="L30" s="77">
        <v>202624</v>
      </c>
      <c r="M30" s="77">
        <v>202625</v>
      </c>
      <c r="N30" s="77">
        <v>202626</v>
      </c>
      <c r="O30" s="77">
        <v>202627</v>
      </c>
      <c r="P30" s="77">
        <v>202628</v>
      </c>
      <c r="Q30" s="77">
        <v>202629</v>
      </c>
      <c r="R30" s="77">
        <v>202630</v>
      </c>
      <c r="S30" s="77">
        <v>202631</v>
      </c>
      <c r="T30" s="77">
        <v>202632</v>
      </c>
      <c r="U30" s="77">
        <v>202633</v>
      </c>
      <c r="V30" s="77">
        <v>202634</v>
      </c>
      <c r="W30" s="77">
        <v>202635</v>
      </c>
    </row>
    <row r="31" spans="1:28" ht="15" customHeight="1">
      <c r="D31" s="41" t="s">
        <v>681</v>
      </c>
      <c r="E31" s="41" t="s">
        <v>682</v>
      </c>
      <c r="G31" s="79">
        <v>24</v>
      </c>
      <c r="H31" s="79">
        <v>27</v>
      </c>
      <c r="I31" s="79">
        <v>43</v>
      </c>
      <c r="J31" s="79">
        <v>55</v>
      </c>
      <c r="K31" s="79">
        <v>335</v>
      </c>
      <c r="L31" s="79">
        <v>121</v>
      </c>
      <c r="M31" s="80">
        <v>94</v>
      </c>
      <c r="N31" s="80">
        <v>94</v>
      </c>
      <c r="O31" s="79">
        <v>114</v>
      </c>
      <c r="P31" s="79">
        <v>146</v>
      </c>
      <c r="Q31" s="79">
        <v>175</v>
      </c>
      <c r="R31" s="79">
        <v>209</v>
      </c>
      <c r="S31" s="80">
        <v>214</v>
      </c>
      <c r="T31" s="81">
        <v>133</v>
      </c>
      <c r="U31" s="81">
        <v>140</v>
      </c>
      <c r="V31" s="79">
        <v>89</v>
      </c>
      <c r="W31" s="79">
        <v>76</v>
      </c>
    </row>
    <row r="32" spans="1:28" ht="15" customHeight="1">
      <c r="D32" s="41" t="s">
        <v>683</v>
      </c>
      <c r="E32" s="41" t="s">
        <v>684</v>
      </c>
      <c r="G32" s="79">
        <v>8</v>
      </c>
      <c r="H32" s="79">
        <v>14</v>
      </c>
      <c r="I32" s="79">
        <v>29</v>
      </c>
      <c r="J32" s="79">
        <v>17</v>
      </c>
      <c r="K32" s="81">
        <v>245</v>
      </c>
      <c r="L32" s="79">
        <v>36</v>
      </c>
      <c r="M32" s="81">
        <v>48</v>
      </c>
      <c r="N32" s="80">
        <v>48</v>
      </c>
      <c r="O32" s="79">
        <v>74</v>
      </c>
      <c r="P32" s="79">
        <v>60</v>
      </c>
      <c r="Q32" s="79">
        <v>72</v>
      </c>
      <c r="R32" s="79">
        <v>90</v>
      </c>
      <c r="S32" s="80">
        <v>73</v>
      </c>
      <c r="T32" s="81">
        <v>72</v>
      </c>
      <c r="U32" s="81">
        <v>41</v>
      </c>
      <c r="V32" s="79">
        <v>38</v>
      </c>
      <c r="W32" s="79">
        <v>37</v>
      </c>
    </row>
    <row r="33" spans="4:23" ht="15" customHeight="1">
      <c r="D33" s="41" t="s">
        <v>685</v>
      </c>
      <c r="E33" s="41" t="s">
        <v>686</v>
      </c>
      <c r="G33" s="79">
        <v>3</v>
      </c>
      <c r="H33" s="79">
        <v>18</v>
      </c>
      <c r="I33" s="79">
        <v>23</v>
      </c>
      <c r="J33" s="80">
        <v>23</v>
      </c>
      <c r="K33" s="81">
        <v>182</v>
      </c>
      <c r="L33" s="79">
        <v>51</v>
      </c>
      <c r="M33" s="80">
        <v>44</v>
      </c>
      <c r="N33" s="80">
        <v>40</v>
      </c>
      <c r="O33" s="79">
        <v>45</v>
      </c>
      <c r="P33" s="79">
        <v>61</v>
      </c>
      <c r="Q33" s="79">
        <v>82</v>
      </c>
      <c r="R33" s="79">
        <v>44</v>
      </c>
      <c r="S33" s="80">
        <v>83</v>
      </c>
      <c r="T33" s="81">
        <v>49</v>
      </c>
      <c r="U33" s="81">
        <v>41</v>
      </c>
      <c r="V33" s="79">
        <v>34</v>
      </c>
      <c r="W33" s="79">
        <v>32</v>
      </c>
    </row>
    <row r="34" spans="4:23" ht="15" customHeight="1">
      <c r="D34" s="41" t="s">
        <v>687</v>
      </c>
      <c r="E34" s="41" t="s">
        <v>688</v>
      </c>
      <c r="G34" s="82">
        <v>11</v>
      </c>
      <c r="H34" s="82">
        <v>5</v>
      </c>
      <c r="I34" s="82">
        <v>17</v>
      </c>
      <c r="J34" s="82">
        <v>20</v>
      </c>
      <c r="K34" s="81">
        <v>123</v>
      </c>
      <c r="L34" s="82">
        <v>31</v>
      </c>
      <c r="M34" s="80">
        <v>25</v>
      </c>
      <c r="N34" s="80">
        <v>22</v>
      </c>
      <c r="O34" s="82">
        <v>40</v>
      </c>
      <c r="P34" s="82">
        <v>48</v>
      </c>
      <c r="Q34" s="82">
        <v>31</v>
      </c>
      <c r="R34" s="82">
        <v>50</v>
      </c>
      <c r="S34" s="80">
        <v>65</v>
      </c>
      <c r="T34" s="81">
        <v>38</v>
      </c>
      <c r="U34" s="81">
        <v>23</v>
      </c>
      <c r="V34" s="82">
        <v>32</v>
      </c>
      <c r="W34" s="82">
        <v>17</v>
      </c>
    </row>
    <row r="35" spans="4:23" ht="15" customHeight="1">
      <c r="G35" s="41">
        <f t="shared" ref="G35:W35" si="7">SUM(G31:G34)</f>
        <v>46</v>
      </c>
      <c r="H35" s="41">
        <f t="shared" si="7"/>
        <v>64</v>
      </c>
      <c r="I35" s="41">
        <f t="shared" si="7"/>
        <v>112</v>
      </c>
      <c r="J35" s="41">
        <f t="shared" si="7"/>
        <v>115</v>
      </c>
      <c r="K35" s="41">
        <f t="shared" si="7"/>
        <v>885</v>
      </c>
      <c r="L35" s="41">
        <f t="shared" si="7"/>
        <v>239</v>
      </c>
      <c r="M35" s="41">
        <f t="shared" si="7"/>
        <v>211</v>
      </c>
      <c r="N35" s="41">
        <f t="shared" si="7"/>
        <v>204</v>
      </c>
      <c r="O35" s="41">
        <f t="shared" si="7"/>
        <v>273</v>
      </c>
      <c r="P35" s="41">
        <f t="shared" si="7"/>
        <v>315</v>
      </c>
      <c r="Q35" s="41">
        <f t="shared" si="7"/>
        <v>360</v>
      </c>
      <c r="R35" s="41">
        <f t="shared" si="7"/>
        <v>393</v>
      </c>
      <c r="S35" s="41">
        <f t="shared" si="7"/>
        <v>435</v>
      </c>
      <c r="T35" s="41">
        <f t="shared" si="7"/>
        <v>292</v>
      </c>
      <c r="U35" s="41">
        <f t="shared" si="7"/>
        <v>245</v>
      </c>
      <c r="V35" s="41">
        <f t="shared" si="7"/>
        <v>193</v>
      </c>
      <c r="W35" s="41">
        <f t="shared" si="7"/>
        <v>162</v>
      </c>
    </row>
    <row r="36" spans="4:23" ht="15" customHeight="1"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</row>
    <row r="37" spans="4:23" ht="15" customHeight="1">
      <c r="F37" s="41" t="s">
        <v>689</v>
      </c>
      <c r="G37" s="44">
        <f t="shared" ref="G37:W37" si="8">G31/AVERAGE($O31:$R31)</f>
        <v>0.15</v>
      </c>
      <c r="H37" s="44">
        <f t="shared" si="8"/>
        <v>0.17</v>
      </c>
      <c r="I37" s="44">
        <f t="shared" si="8"/>
        <v>0.27</v>
      </c>
      <c r="J37" s="44">
        <f t="shared" si="8"/>
        <v>0.34</v>
      </c>
      <c r="K37" s="44">
        <f t="shared" si="8"/>
        <v>2.08</v>
      </c>
      <c r="L37" s="44">
        <f t="shared" si="8"/>
        <v>0.75</v>
      </c>
      <c r="M37" s="44">
        <f t="shared" si="8"/>
        <v>0.57999999999999996</v>
      </c>
      <c r="N37" s="44">
        <f t="shared" si="8"/>
        <v>0.57999999999999996</v>
      </c>
      <c r="O37" s="44">
        <f t="shared" si="8"/>
        <v>0.71</v>
      </c>
      <c r="P37" s="44">
        <f t="shared" si="8"/>
        <v>0.91</v>
      </c>
      <c r="Q37" s="44">
        <f t="shared" si="8"/>
        <v>1.0900000000000001</v>
      </c>
      <c r="R37" s="44">
        <f t="shared" si="8"/>
        <v>1.3</v>
      </c>
      <c r="S37" s="44">
        <f t="shared" si="8"/>
        <v>1.33</v>
      </c>
      <c r="T37" s="44">
        <f t="shared" si="8"/>
        <v>0.83</v>
      </c>
      <c r="U37" s="44">
        <f t="shared" si="8"/>
        <v>0.87</v>
      </c>
      <c r="V37" s="44">
        <f t="shared" si="8"/>
        <v>0.55000000000000004</v>
      </c>
      <c r="W37" s="44">
        <f t="shared" si="8"/>
        <v>0.47</v>
      </c>
    </row>
    <row r="38" spans="4:23" ht="15" customHeight="1">
      <c r="G38" s="44">
        <f t="shared" ref="G38:W38" si="9">G32/AVERAGE($O32:$R32)</f>
        <v>0.11</v>
      </c>
      <c r="H38" s="44">
        <f t="shared" si="9"/>
        <v>0.19</v>
      </c>
      <c r="I38" s="44">
        <f t="shared" si="9"/>
        <v>0.39</v>
      </c>
      <c r="J38" s="44">
        <f t="shared" si="9"/>
        <v>0.23</v>
      </c>
      <c r="K38" s="44">
        <f t="shared" si="9"/>
        <v>3.31</v>
      </c>
      <c r="L38" s="44">
        <f t="shared" si="9"/>
        <v>0.49</v>
      </c>
      <c r="M38" s="44">
        <f t="shared" si="9"/>
        <v>0.65</v>
      </c>
      <c r="N38" s="44">
        <f t="shared" si="9"/>
        <v>0.65</v>
      </c>
      <c r="O38" s="44">
        <f t="shared" si="9"/>
        <v>1</v>
      </c>
      <c r="P38" s="44">
        <f t="shared" si="9"/>
        <v>0.81</v>
      </c>
      <c r="Q38" s="44">
        <f t="shared" si="9"/>
        <v>0.97</v>
      </c>
      <c r="R38" s="44">
        <f t="shared" si="9"/>
        <v>1.22</v>
      </c>
      <c r="S38" s="44">
        <f t="shared" si="9"/>
        <v>0.99</v>
      </c>
      <c r="T38" s="44">
        <f t="shared" si="9"/>
        <v>0.97</v>
      </c>
      <c r="U38" s="44">
        <f t="shared" si="9"/>
        <v>0.55000000000000004</v>
      </c>
      <c r="V38" s="44">
        <f t="shared" si="9"/>
        <v>0.51</v>
      </c>
      <c r="W38" s="44">
        <f t="shared" si="9"/>
        <v>0.5</v>
      </c>
    </row>
    <row r="39" spans="4:23" ht="15" customHeight="1">
      <c r="G39" s="44">
        <f t="shared" ref="G39:W39" si="10">G33/AVERAGE($O33:$R33)</f>
        <v>0.05</v>
      </c>
      <c r="H39" s="44">
        <f t="shared" si="10"/>
        <v>0.31</v>
      </c>
      <c r="I39" s="44">
        <f t="shared" si="10"/>
        <v>0.4</v>
      </c>
      <c r="J39" s="44">
        <f t="shared" si="10"/>
        <v>0.4</v>
      </c>
      <c r="K39" s="44">
        <f t="shared" si="10"/>
        <v>3.14</v>
      </c>
      <c r="L39" s="44">
        <f t="shared" si="10"/>
        <v>0.88</v>
      </c>
      <c r="M39" s="44">
        <f t="shared" si="10"/>
        <v>0.76</v>
      </c>
      <c r="N39" s="44">
        <f t="shared" si="10"/>
        <v>0.69</v>
      </c>
      <c r="O39" s="44">
        <f t="shared" si="10"/>
        <v>0.78</v>
      </c>
      <c r="P39" s="44">
        <f t="shared" si="10"/>
        <v>1.05</v>
      </c>
      <c r="Q39" s="44">
        <f t="shared" si="10"/>
        <v>1.41</v>
      </c>
      <c r="R39" s="44">
        <f t="shared" si="10"/>
        <v>0.76</v>
      </c>
      <c r="S39" s="44">
        <f t="shared" si="10"/>
        <v>1.43</v>
      </c>
      <c r="T39" s="44">
        <f t="shared" si="10"/>
        <v>0.84</v>
      </c>
      <c r="U39" s="44">
        <f t="shared" si="10"/>
        <v>0.71</v>
      </c>
      <c r="V39" s="44">
        <f t="shared" si="10"/>
        <v>0.59</v>
      </c>
      <c r="W39" s="44">
        <f t="shared" si="10"/>
        <v>0.55000000000000004</v>
      </c>
    </row>
    <row r="40" spans="4:23" ht="15" customHeight="1">
      <c r="G40" s="44">
        <f t="shared" ref="G40:W40" si="11">G34/AVERAGE($O34:$R34)</f>
        <v>0.26</v>
      </c>
      <c r="H40" s="44">
        <f t="shared" si="11"/>
        <v>0.12</v>
      </c>
      <c r="I40" s="44">
        <f t="shared" si="11"/>
        <v>0.4</v>
      </c>
      <c r="J40" s="44">
        <f t="shared" si="11"/>
        <v>0.47</v>
      </c>
      <c r="K40" s="44">
        <f t="shared" si="11"/>
        <v>2.91</v>
      </c>
      <c r="L40" s="44">
        <f t="shared" si="11"/>
        <v>0.73</v>
      </c>
      <c r="M40" s="44">
        <f t="shared" si="11"/>
        <v>0.59</v>
      </c>
      <c r="N40" s="44">
        <f t="shared" si="11"/>
        <v>0.52</v>
      </c>
      <c r="O40" s="44">
        <f t="shared" si="11"/>
        <v>0.95</v>
      </c>
      <c r="P40" s="44">
        <f t="shared" si="11"/>
        <v>1.1399999999999999</v>
      </c>
      <c r="Q40" s="44">
        <f t="shared" si="11"/>
        <v>0.73</v>
      </c>
      <c r="R40" s="44">
        <f t="shared" si="11"/>
        <v>1.18</v>
      </c>
      <c r="S40" s="44">
        <f t="shared" si="11"/>
        <v>1.54</v>
      </c>
      <c r="T40" s="44">
        <f t="shared" si="11"/>
        <v>0.9</v>
      </c>
      <c r="U40" s="44">
        <f t="shared" si="11"/>
        <v>0.54</v>
      </c>
      <c r="V40" s="44">
        <f t="shared" si="11"/>
        <v>0.76</v>
      </c>
      <c r="W40" s="44">
        <f t="shared" si="11"/>
        <v>0.4</v>
      </c>
    </row>
    <row r="41" spans="4:23" ht="15" customHeight="1">
      <c r="M41" s="29"/>
    </row>
    <row r="42" spans="4:23" ht="15" customHeight="1">
      <c r="E42" s="41" t="s">
        <v>690</v>
      </c>
      <c r="F42" s="41" t="s">
        <v>691</v>
      </c>
      <c r="G42" s="83">
        <f t="shared" ref="G42:W42" si="12">AVERAGE(G37:G40)</f>
        <v>0.14000000000000001</v>
      </c>
      <c r="H42" s="83">
        <f t="shared" si="12"/>
        <v>0.2</v>
      </c>
      <c r="I42" s="83">
        <f t="shared" si="12"/>
        <v>0.37</v>
      </c>
      <c r="J42" s="83">
        <f t="shared" si="12"/>
        <v>0.36</v>
      </c>
      <c r="K42" s="83">
        <f t="shared" si="12"/>
        <v>2.86</v>
      </c>
      <c r="L42" s="83">
        <f t="shared" si="12"/>
        <v>0.71</v>
      </c>
      <c r="M42" s="83">
        <f t="shared" si="12"/>
        <v>0.65</v>
      </c>
      <c r="N42" s="83">
        <f t="shared" si="12"/>
        <v>0.61</v>
      </c>
      <c r="O42" s="83">
        <f t="shared" si="12"/>
        <v>0.86</v>
      </c>
      <c r="P42" s="83">
        <f t="shared" si="12"/>
        <v>0.98</v>
      </c>
      <c r="Q42" s="83">
        <f t="shared" si="12"/>
        <v>1.05</v>
      </c>
      <c r="R42" s="83">
        <f t="shared" si="12"/>
        <v>1.1200000000000001</v>
      </c>
      <c r="S42" s="83">
        <f t="shared" si="12"/>
        <v>1.32</v>
      </c>
      <c r="T42" s="83">
        <f t="shared" si="12"/>
        <v>0.89</v>
      </c>
      <c r="U42" s="83">
        <f t="shared" si="12"/>
        <v>0.67</v>
      </c>
      <c r="V42" s="83">
        <f t="shared" si="12"/>
        <v>0.6</v>
      </c>
      <c r="W42" s="83">
        <f t="shared" si="12"/>
        <v>0.48</v>
      </c>
    </row>
    <row r="43" spans="4:23" ht="15" customHeight="1">
      <c r="M43" s="29"/>
    </row>
    <row r="44" spans="4:23" ht="15" customHeight="1">
      <c r="M44" s="29"/>
    </row>
    <row r="45" spans="4:23" ht="15" customHeight="1">
      <c r="M45" s="29"/>
    </row>
    <row r="46" spans="4:23" ht="15" customHeight="1">
      <c r="M46" s="29"/>
    </row>
    <row r="47" spans="4:23" ht="15" customHeight="1">
      <c r="M47" s="29"/>
    </row>
    <row r="48" spans="4:23" ht="15" customHeight="1">
      <c r="M48" s="29"/>
    </row>
    <row r="49" spans="13:13" ht="15" customHeight="1">
      <c r="M49" s="29"/>
    </row>
    <row r="50" spans="13:13" ht="15" customHeight="1">
      <c r="M50" s="29"/>
    </row>
    <row r="51" spans="13:13" ht="15" customHeight="1">
      <c r="M51" s="29"/>
    </row>
    <row r="52" spans="13:13" ht="15" customHeight="1">
      <c r="M52" s="29"/>
    </row>
    <row r="53" spans="13:13" ht="15" customHeight="1">
      <c r="M53" s="29"/>
    </row>
    <row r="54" spans="13:13" ht="15" customHeight="1">
      <c r="M54" s="29"/>
    </row>
    <row r="55" spans="13:13" ht="15" customHeight="1">
      <c r="M55" s="29"/>
    </row>
    <row r="56" spans="13:13" ht="15" customHeight="1">
      <c r="M56" s="29"/>
    </row>
    <row r="57" spans="13:13" ht="15" customHeight="1">
      <c r="M57" s="29"/>
    </row>
    <row r="58" spans="13:13" ht="15" customHeight="1">
      <c r="M58" s="29"/>
    </row>
    <row r="59" spans="13:13" ht="15" customHeight="1">
      <c r="M59" s="29"/>
    </row>
  </sheetData>
  <phoneticPr fontId="48" type="noConversion"/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workbookViewId="0">
      <selection activeCell="A34" sqref="A34"/>
    </sheetView>
  </sheetViews>
  <sheetFormatPr defaultColWidth="10.28515625" defaultRowHeight="20.100000000000001" customHeight="1"/>
  <cols>
    <col min="1" max="1" width="75.28515625" style="29" customWidth="1"/>
    <col min="2" max="16384" width="10.28515625" style="29"/>
  </cols>
  <sheetData>
    <row r="1" spans="1:2" ht="20.100000000000001" customHeight="1">
      <c r="A1" s="30" t="s">
        <v>692</v>
      </c>
    </row>
    <row r="2" spans="1:2" ht="20.100000000000001" customHeight="1">
      <c r="A2" s="30" t="s">
        <v>693</v>
      </c>
    </row>
    <row r="3" spans="1:2" ht="20.100000000000001" customHeight="1">
      <c r="A3" s="30" t="s">
        <v>694</v>
      </c>
    </row>
    <row r="4" spans="1:2" ht="20.100000000000001" customHeight="1">
      <c r="A4" s="30" t="s">
        <v>695</v>
      </c>
    </row>
    <row r="5" spans="1:2" ht="20.100000000000001" customHeight="1">
      <c r="A5" s="30" t="s">
        <v>696</v>
      </c>
    </row>
    <row r="6" spans="1:2" ht="20.100000000000001" customHeight="1">
      <c r="A6" s="31"/>
    </row>
    <row r="7" spans="1:2" ht="20.100000000000001" customHeight="1">
      <c r="A7" s="32" t="s">
        <v>697</v>
      </c>
    </row>
    <row r="8" spans="1:2" ht="20.100000000000001" customHeight="1">
      <c r="A8" s="32"/>
    </row>
    <row r="9" spans="1:2" ht="20.100000000000001" customHeight="1">
      <c r="A9" s="32" t="s">
        <v>698</v>
      </c>
    </row>
    <row r="10" spans="1:2" ht="20.100000000000001" customHeight="1">
      <c r="A10" s="32"/>
    </row>
    <row r="11" spans="1:2" ht="20.100000000000001" customHeight="1">
      <c r="A11" s="33" t="s">
        <v>699</v>
      </c>
    </row>
    <row r="12" spans="1:2" ht="44.1" customHeight="1">
      <c r="A12" s="34" t="s">
        <v>700</v>
      </c>
    </row>
    <row r="13" spans="1:2" ht="20.100000000000001" customHeight="1">
      <c r="A13" s="34"/>
    </row>
    <row r="14" spans="1:2" ht="20.100000000000001" customHeight="1">
      <c r="A14" s="33" t="s">
        <v>701</v>
      </c>
    </row>
    <row r="15" spans="1:2" ht="20.100000000000001" customHeight="1">
      <c r="A15" s="35" t="s">
        <v>702</v>
      </c>
      <c r="B15" s="36" t="s">
        <v>703</v>
      </c>
    </row>
    <row r="16" spans="1:2" ht="20.100000000000001" customHeight="1">
      <c r="A16" s="37" t="s">
        <v>704</v>
      </c>
      <c r="B16" s="38">
        <v>0.75</v>
      </c>
    </row>
    <row r="17" spans="1:2" ht="20.100000000000001" customHeight="1">
      <c r="A17" s="37" t="s">
        <v>705</v>
      </c>
      <c r="B17" s="38">
        <v>0.25</v>
      </c>
    </row>
    <row r="18" spans="1:2" ht="20.100000000000001" customHeight="1">
      <c r="A18" s="34"/>
    </row>
    <row r="19" spans="1:2" ht="20.100000000000001" customHeight="1">
      <c r="A19" s="33" t="s">
        <v>706</v>
      </c>
    </row>
    <row r="20" spans="1:2" ht="20.100000000000001" customHeight="1">
      <c r="A20" s="34" t="s">
        <v>707</v>
      </c>
    </row>
    <row r="21" spans="1:2" ht="20.100000000000001" customHeight="1">
      <c r="A21" s="39" t="s">
        <v>708</v>
      </c>
    </row>
    <row r="22" spans="1:2" ht="20.100000000000001" customHeight="1">
      <c r="A22" s="40" t="s">
        <v>709</v>
      </c>
    </row>
    <row r="23" spans="1:2" ht="20.100000000000001" customHeight="1">
      <c r="A23" s="39" t="s">
        <v>710</v>
      </c>
    </row>
    <row r="24" spans="1:2" ht="20.100000000000001" customHeight="1">
      <c r="A24" s="39"/>
    </row>
    <row r="25" spans="1:2" ht="20.100000000000001" customHeight="1">
      <c r="A25" s="33" t="s">
        <v>711</v>
      </c>
    </row>
    <row r="26" spans="1:2" ht="20.100000000000001" customHeight="1">
      <c r="A26" s="34" t="s">
        <v>712</v>
      </c>
    </row>
    <row r="27" spans="1:2" ht="20.100000000000001" customHeight="1">
      <c r="A27" s="39"/>
    </row>
    <row r="28" spans="1:2" ht="20.100000000000001" customHeight="1">
      <c r="A28" s="33" t="s">
        <v>713</v>
      </c>
    </row>
    <row r="29" spans="1:2" ht="20.100000000000001" customHeight="1">
      <c r="A29" s="34" t="s">
        <v>714</v>
      </c>
    </row>
    <row r="30" spans="1:2" ht="20.100000000000001" customHeight="1">
      <c r="A30" s="32"/>
    </row>
    <row r="31" spans="1:2" ht="20.100000000000001" customHeight="1">
      <c r="A31" s="32" t="s">
        <v>715</v>
      </c>
    </row>
    <row r="32" spans="1:2" ht="20.100000000000001" customHeight="1">
      <c r="A32" s="32"/>
    </row>
    <row r="33" spans="1:1" ht="20.100000000000001" customHeight="1">
      <c r="A33" s="32" t="s">
        <v>716</v>
      </c>
    </row>
    <row r="34" spans="1:1" ht="20.100000000000001" customHeight="1">
      <c r="A34" s="32" t="s">
        <v>717</v>
      </c>
    </row>
  </sheetData>
  <phoneticPr fontId="48" type="noConversion"/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"/>
  <sheetViews>
    <sheetView zoomScale="90" zoomScaleNormal="90" workbookViewId="0">
      <selection activeCell="G12" sqref="G12"/>
    </sheetView>
  </sheetViews>
  <sheetFormatPr defaultColWidth="8.7109375" defaultRowHeight="12.75"/>
  <cols>
    <col min="1" max="1" width="21.42578125" style="3" customWidth="1"/>
    <col min="2" max="2" width="16" style="4" customWidth="1"/>
    <col min="3" max="3" width="50.140625" style="3" customWidth="1"/>
    <col min="4" max="4" width="20" style="5" customWidth="1"/>
    <col min="5" max="6" width="12.7109375" style="6" customWidth="1"/>
    <col min="7" max="7" width="14.5703125" style="3" customWidth="1"/>
    <col min="8" max="8" width="11.5703125" style="3" customWidth="1"/>
    <col min="9" max="10" width="8.7109375" style="3" customWidth="1"/>
    <col min="11" max="11" width="12.140625" style="3" customWidth="1"/>
    <col min="12" max="14" width="8.7109375" style="3" customWidth="1"/>
    <col min="15" max="15" width="13.28515625" style="3" customWidth="1"/>
    <col min="16" max="17" width="12.5703125" style="3" customWidth="1"/>
    <col min="18" max="18" width="16.42578125" style="3" customWidth="1"/>
    <col min="19" max="19" width="12.7109375" style="3" customWidth="1"/>
    <col min="20" max="16384" width="8.7109375" style="7"/>
  </cols>
  <sheetData>
    <row r="1" spans="1:19" s="1" customFormat="1" ht="55.5" customHeight="1">
      <c r="A1" s="246" t="s">
        <v>718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</row>
    <row r="2" spans="1:19" s="2" customFormat="1" ht="24" customHeight="1">
      <c r="A2" s="235" t="s">
        <v>719</v>
      </c>
      <c r="B2" s="233" t="s">
        <v>720</v>
      </c>
      <c r="C2" s="235" t="s">
        <v>721</v>
      </c>
      <c r="D2" s="233" t="s">
        <v>722</v>
      </c>
      <c r="E2" s="252" t="s">
        <v>723</v>
      </c>
      <c r="F2" s="8" t="s">
        <v>96</v>
      </c>
      <c r="G2" s="233" t="s">
        <v>706</v>
      </c>
      <c r="H2" s="247" t="s">
        <v>724</v>
      </c>
      <c r="I2" s="248"/>
      <c r="J2" s="249"/>
      <c r="K2" s="233" t="s">
        <v>725</v>
      </c>
      <c r="L2" s="247" t="s">
        <v>726</v>
      </c>
      <c r="M2" s="248"/>
      <c r="N2" s="249"/>
      <c r="O2" s="233" t="s">
        <v>727</v>
      </c>
      <c r="P2" s="235" t="s">
        <v>728</v>
      </c>
      <c r="Q2" s="235" t="s">
        <v>729</v>
      </c>
      <c r="R2" s="235" t="s">
        <v>730</v>
      </c>
      <c r="S2" s="235" t="s">
        <v>731</v>
      </c>
    </row>
    <row r="3" spans="1:19" s="2" customFormat="1" ht="18" customHeight="1">
      <c r="A3" s="236"/>
      <c r="B3" s="234"/>
      <c r="C3" s="236"/>
      <c r="D3" s="234"/>
      <c r="E3" s="253"/>
      <c r="F3" s="9">
        <v>7.95</v>
      </c>
      <c r="G3" s="234"/>
      <c r="H3" s="10" t="s">
        <v>732</v>
      </c>
      <c r="I3" s="10" t="s">
        <v>733</v>
      </c>
      <c r="J3" s="10" t="s">
        <v>734</v>
      </c>
      <c r="K3" s="234"/>
      <c r="L3" s="10" t="s">
        <v>735</v>
      </c>
      <c r="M3" s="10" t="s">
        <v>736</v>
      </c>
      <c r="N3" s="10" t="s">
        <v>737</v>
      </c>
      <c r="O3" s="234"/>
      <c r="P3" s="236"/>
      <c r="Q3" s="236"/>
      <c r="R3" s="236"/>
      <c r="S3" s="236"/>
    </row>
    <row r="4" spans="1:19" s="2" customFormat="1" ht="102.95" customHeight="1">
      <c r="A4" s="250"/>
      <c r="B4" s="239"/>
      <c r="C4" s="242" t="s">
        <v>747</v>
      </c>
      <c r="D4" s="11" t="s">
        <v>738</v>
      </c>
      <c r="E4" s="12">
        <f>138+4</f>
        <v>142</v>
      </c>
      <c r="F4" s="13">
        <f t="shared" ref="F4:F7" si="0">E4/$F$3</f>
        <v>17.86</v>
      </c>
      <c r="G4" s="237" t="s">
        <v>739</v>
      </c>
      <c r="H4" s="14">
        <f t="shared" ref="H4:H7" si="1">L4*2.54+2</f>
        <v>43</v>
      </c>
      <c r="I4" s="14">
        <f t="shared" ref="I4:I7" si="2">M4*2.54+2</f>
        <v>35</v>
      </c>
      <c r="J4" s="14">
        <f>N4*2.54*4+2</f>
        <v>60</v>
      </c>
      <c r="K4" s="15">
        <v>4</v>
      </c>
      <c r="L4" s="16">
        <v>16</v>
      </c>
      <c r="M4" s="16">
        <v>13</v>
      </c>
      <c r="N4" s="16">
        <v>5.75</v>
      </c>
      <c r="O4" s="17">
        <v>6.38</v>
      </c>
      <c r="P4" s="237" t="s">
        <v>740</v>
      </c>
      <c r="Q4" s="250" t="s">
        <v>741</v>
      </c>
      <c r="R4" s="250" t="s">
        <v>742</v>
      </c>
      <c r="S4" s="254">
        <v>0.33500000000000002</v>
      </c>
    </row>
    <row r="5" spans="1:19" s="2" customFormat="1" ht="84" customHeight="1">
      <c r="A5" s="251"/>
      <c r="B5" s="240"/>
      <c r="C5" s="243"/>
      <c r="D5" s="11" t="s">
        <v>743</v>
      </c>
      <c r="E5" s="12">
        <f>180+5.5</f>
        <v>185.5</v>
      </c>
      <c r="F5" s="13">
        <f t="shared" si="0"/>
        <v>23.33</v>
      </c>
      <c r="G5" s="237"/>
      <c r="H5" s="14">
        <f t="shared" si="1"/>
        <v>43</v>
      </c>
      <c r="I5" s="14">
        <f t="shared" si="2"/>
        <v>36</v>
      </c>
      <c r="J5" s="14">
        <f t="shared" ref="J5:J7" si="3">N5*2.54*3+2</f>
        <v>53</v>
      </c>
      <c r="K5" s="15">
        <v>3</v>
      </c>
      <c r="L5" s="16">
        <v>16</v>
      </c>
      <c r="M5" s="16">
        <v>13.5</v>
      </c>
      <c r="N5" s="16">
        <v>6.75</v>
      </c>
      <c r="O5" s="17">
        <v>4.63</v>
      </c>
      <c r="P5" s="237"/>
      <c r="Q5" s="250"/>
      <c r="R5" s="250"/>
      <c r="S5" s="254"/>
    </row>
    <row r="6" spans="1:19" s="2" customFormat="1" ht="95.1" customHeight="1">
      <c r="A6" s="255"/>
      <c r="B6" s="241"/>
      <c r="C6" s="244" t="s">
        <v>744</v>
      </c>
      <c r="D6" s="18" t="s">
        <v>738</v>
      </c>
      <c r="E6" s="19">
        <f>141+4</f>
        <v>145</v>
      </c>
      <c r="F6" s="20">
        <f t="shared" si="0"/>
        <v>18.239999999999998</v>
      </c>
      <c r="G6" s="231" t="s">
        <v>739</v>
      </c>
      <c r="H6" s="21">
        <f t="shared" si="1"/>
        <v>43</v>
      </c>
      <c r="I6" s="21">
        <f t="shared" si="2"/>
        <v>35</v>
      </c>
      <c r="J6" s="21">
        <f t="shared" si="3"/>
        <v>52</v>
      </c>
      <c r="K6" s="22">
        <v>3</v>
      </c>
      <c r="L6" s="23">
        <v>16</v>
      </c>
      <c r="M6" s="23">
        <v>13</v>
      </c>
      <c r="N6" s="23">
        <v>6.5</v>
      </c>
      <c r="O6" s="24">
        <v>9.15</v>
      </c>
      <c r="P6" s="237"/>
      <c r="Q6" s="250"/>
      <c r="R6" s="250"/>
      <c r="S6" s="250"/>
    </row>
    <row r="7" spans="1:19" s="2" customFormat="1" ht="95.1" customHeight="1">
      <c r="A7" s="256"/>
      <c r="B7" s="232"/>
      <c r="C7" s="245"/>
      <c r="D7" s="18" t="s">
        <v>743</v>
      </c>
      <c r="E7" s="25">
        <f>183+5.5</f>
        <v>188.5</v>
      </c>
      <c r="F7" s="20">
        <f t="shared" si="0"/>
        <v>23.71</v>
      </c>
      <c r="G7" s="232"/>
      <c r="H7" s="21">
        <f t="shared" si="1"/>
        <v>43</v>
      </c>
      <c r="I7" s="21">
        <f t="shared" si="2"/>
        <v>35</v>
      </c>
      <c r="J7" s="21">
        <f t="shared" si="3"/>
        <v>59</v>
      </c>
      <c r="K7" s="22">
        <v>3</v>
      </c>
      <c r="L7" s="23">
        <v>16</v>
      </c>
      <c r="M7" s="23">
        <v>13</v>
      </c>
      <c r="N7" s="23">
        <v>7.5</v>
      </c>
      <c r="O7" s="24">
        <v>13.62</v>
      </c>
      <c r="P7" s="238"/>
      <c r="Q7" s="251"/>
      <c r="R7" s="251"/>
      <c r="S7" s="251"/>
    </row>
    <row r="8" spans="1:19">
      <c r="H8" s="26"/>
      <c r="I8" s="26"/>
      <c r="J8" s="26"/>
      <c r="K8" s="26"/>
      <c r="L8" s="26"/>
      <c r="M8" s="26"/>
      <c r="N8" s="27"/>
      <c r="O8" s="26"/>
    </row>
    <row r="9" spans="1:19">
      <c r="N9" s="28"/>
    </row>
    <row r="10" spans="1:19">
      <c r="N10" s="28"/>
    </row>
    <row r="11" spans="1:19">
      <c r="N11" s="28"/>
    </row>
    <row r="12" spans="1:19">
      <c r="N12" s="28"/>
    </row>
  </sheetData>
  <mergeCells count="27">
    <mergeCell ref="A1:S1"/>
    <mergeCell ref="H2:J2"/>
    <mergeCell ref="L2:N2"/>
    <mergeCell ref="A2:A3"/>
    <mergeCell ref="A4:A5"/>
    <mergeCell ref="D2:D3"/>
    <mergeCell ref="E2:E3"/>
    <mergeCell ref="G2:G3"/>
    <mergeCell ref="G4:G5"/>
    <mergeCell ref="Q2:Q3"/>
    <mergeCell ref="Q4:Q7"/>
    <mergeCell ref="R2:R3"/>
    <mergeCell ref="R4:R7"/>
    <mergeCell ref="S2:S3"/>
    <mergeCell ref="S4:S7"/>
    <mergeCell ref="A6:A7"/>
    <mergeCell ref="B2:B3"/>
    <mergeCell ref="B4:B5"/>
    <mergeCell ref="B6:B7"/>
    <mergeCell ref="C2:C3"/>
    <mergeCell ref="C4:C5"/>
    <mergeCell ref="C6:C7"/>
    <mergeCell ref="G6:G7"/>
    <mergeCell ref="K2:K3"/>
    <mergeCell ref="O2:O3"/>
    <mergeCell ref="P2:P3"/>
    <mergeCell ref="P4:P7"/>
  </mergeCells>
  <phoneticPr fontId="48" type="noConversion"/>
  <pageMargins left="0.25" right="0.25" top="0.75" bottom="0.75" header="0.3" footer="0.3"/>
  <pageSetup paperSize="9" scale="6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6" rangeCreator="" othersAccessPermission="edit"/>
    <arrUserId title="Range1_1" rangeCreator="" othersAccessPermission="edit"/>
    <arrUserId title="Range1_5" rangeCreator="" othersAccessPermission="edit"/>
  </rangeList>
  <rangeList sheetStid="4" master="" otherUserPermission="visible"/>
  <rangeList sheetStid="6" master="" otherUserPermission="visible"/>
  <rangeList sheetStid="7" master="" otherUserPermission="visible"/>
  <rangeList sheetStid="8" master="" otherUserPermission="visible"/>
  <rangeList sheetStid="10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Commitment</vt:lpstr>
      <vt:lpstr>Item</vt:lpstr>
      <vt:lpstr>ValueSelect</vt:lpstr>
      <vt:lpstr>Formulas</vt:lpstr>
      <vt:lpstr>Summary</vt:lpstr>
      <vt:lpstr>History Email</vt:lpstr>
      <vt:lpstr>Quote Sheet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2025-03-10T18:28:00Z</dcterms:created>
  <dcterms:modified xsi:type="dcterms:W3CDTF">2026-01-29T02:46:24Z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2AB92B66629743188DCCBABA87CB1B24_13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