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zhangli\Desktop\"/>
    </mc:Choice>
  </mc:AlternateContent>
  <xr:revisionPtr revIDLastSave="0" documentId="13_ncr:1_{EDC6CC62-4E0D-4618-94CD-8A2EA5D2E2EF}" xr6:coauthVersionLast="47" xr6:coauthVersionMax="47" xr10:uidLastSave="{00000000-0000-0000-0000-000000000000}"/>
  <bookViews>
    <workbookView xWindow="-120" yWindow="-120" windowWidth="29040" windowHeight="15840" xr2:uid="{00000000-000D-0000-FFFF-FFFF00000000}"/>
  </bookViews>
  <sheets>
    <sheet name="Item" sheetId="5" r:id="rId1"/>
  </sheets>
  <externalReferences>
    <externalReference r:id="rId2"/>
  </externalReferences>
  <definedNames>
    <definedName name="CATEGORY">[1]Sheet1!$DW$2:$DW$3</definedName>
    <definedName name="colour">[1]Sheet1!$EH$2:$EH$3</definedName>
    <definedName name="foam">[1]Sheet1!$EC$2:$EC$3</definedName>
    <definedName name="KD">[1]Sheet1!$DS$2:$DS$2</definedName>
    <definedName name="M">[1]Sheet1!$EA$2:$EA$3</definedName>
    <definedName name="PACK">[1]Sheet1!$EE$2:$EE$3</definedName>
    <definedName name="PORT_IFF">#N/A</definedName>
    <definedName name="UNIT">[1]Sheet1!$EF$2:$EF$3</definedName>
    <definedName name="vlook">#REF!</definedName>
    <definedName name="wood">[1]Sheet1!$EG$2:$EG$3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B3" i="5" l="1"/>
  <c r="BB4" i="5"/>
  <c r="BB5" i="5"/>
  <c r="BB6" i="5"/>
  <c r="BB7" i="5"/>
  <c r="BB8" i="5"/>
  <c r="BB9" i="5"/>
  <c r="BB10" i="5"/>
  <c r="BB11" i="5"/>
  <c r="BB12" i="5"/>
  <c r="BB13" i="5"/>
  <c r="BB2" i="5"/>
  <c r="BQ11" i="5" l="1"/>
  <c r="BQ12" i="5"/>
  <c r="BQ13" i="5"/>
  <c r="BD13" i="5" l="1"/>
  <c r="BR13" i="5"/>
  <c r="AM13" i="5"/>
  <c r="AN13" i="5" s="1"/>
  <c r="AC13" i="5"/>
  <c r="AI13" i="5" s="1"/>
  <c r="AK13" i="5" s="1"/>
  <c r="U13" i="5"/>
  <c r="BD12" i="5"/>
  <c r="AM12" i="5"/>
  <c r="AN12" i="5" s="1"/>
  <c r="AC12" i="5"/>
  <c r="AI12" i="5" s="1"/>
  <c r="AK12" i="5" s="1"/>
  <c r="U12" i="5"/>
  <c r="BD11" i="5"/>
  <c r="AS11" i="5"/>
  <c r="AM11" i="5"/>
  <c r="AN11" i="5" s="1"/>
  <c r="AC11" i="5"/>
  <c r="AI11" i="5" s="1"/>
  <c r="AK11" i="5" s="1"/>
  <c r="U11" i="5"/>
  <c r="AO12" i="5" l="1"/>
  <c r="AX12" i="5"/>
  <c r="BR12" i="5"/>
  <c r="AO13" i="5"/>
  <c r="AO11" i="5"/>
  <c r="AQ11" i="5"/>
  <c r="AX11" i="5"/>
  <c r="BR11" i="5"/>
  <c r="AQ13" i="5"/>
  <c r="AS13" i="5"/>
  <c r="AU11" i="5"/>
  <c r="AU13" i="5"/>
  <c r="AX13" i="5"/>
  <c r="AQ12" i="5"/>
  <c r="AS12" i="5"/>
  <c r="AU12" i="5"/>
  <c r="U5" i="5"/>
  <c r="U4" i="5"/>
  <c r="U3" i="5"/>
  <c r="U6" i="5"/>
  <c r="U7" i="5"/>
  <c r="U8" i="5"/>
  <c r="U9" i="5"/>
  <c r="U10" i="5"/>
  <c r="U2" i="5"/>
  <c r="AY11" i="5" l="1"/>
  <c r="AZ11" i="5" s="1"/>
  <c r="BF11" i="5" s="1"/>
  <c r="BG11" i="5" s="1"/>
  <c r="AY12" i="5"/>
  <c r="AZ12" i="5" s="1"/>
  <c r="BF12" i="5" s="1"/>
  <c r="BG12" i="5" s="1"/>
  <c r="BA12" i="5"/>
  <c r="AY13" i="5"/>
  <c r="AZ13" i="5" s="1"/>
  <c r="BD10" i="5"/>
  <c r="AS10" i="5"/>
  <c r="AM10" i="5"/>
  <c r="AN10" i="5" s="1"/>
  <c r="AC10" i="5"/>
  <c r="AI10" i="5" s="1"/>
  <c r="AK10" i="5" s="1"/>
  <c r="BD9" i="5"/>
  <c r="AX9" i="5"/>
  <c r="AM9" i="5"/>
  <c r="AC9" i="5"/>
  <c r="AI9" i="5" s="1"/>
  <c r="AK9" i="5" s="1"/>
  <c r="BQ9" i="5"/>
  <c r="BD8" i="5"/>
  <c r="AS8" i="5"/>
  <c r="AM8" i="5"/>
  <c r="AN8" i="5" s="1"/>
  <c r="AC8" i="5"/>
  <c r="AI8" i="5" s="1"/>
  <c r="AK8" i="5" s="1"/>
  <c r="BD7" i="5"/>
  <c r="AS7" i="5"/>
  <c r="AM7" i="5"/>
  <c r="AC7" i="5"/>
  <c r="AI7" i="5" s="1"/>
  <c r="AK7" i="5" s="1"/>
  <c r="AN7" i="5"/>
  <c r="BD6" i="5"/>
  <c r="AS6" i="5"/>
  <c r="AM6" i="5"/>
  <c r="AC6" i="5"/>
  <c r="AI6" i="5" s="1"/>
  <c r="AK6" i="5" s="1"/>
  <c r="BQ6" i="5"/>
  <c r="BD5" i="5"/>
  <c r="AS5" i="5"/>
  <c r="AM5" i="5"/>
  <c r="AN5" i="5" s="1"/>
  <c r="AC5" i="5"/>
  <c r="AI5" i="5" s="1"/>
  <c r="AK5" i="5" s="1"/>
  <c r="BD4" i="5"/>
  <c r="AX4" i="5"/>
  <c r="AM4" i="5"/>
  <c r="AN4" i="5" s="1"/>
  <c r="AC4" i="5"/>
  <c r="AI4" i="5" s="1"/>
  <c r="AK4" i="5" s="1"/>
  <c r="BD3" i="5"/>
  <c r="AU3" i="5"/>
  <c r="AM3" i="5"/>
  <c r="AN3" i="5" s="1"/>
  <c r="AC3" i="5"/>
  <c r="AI3" i="5" s="1"/>
  <c r="AK3" i="5" s="1"/>
  <c r="BR2" i="5"/>
  <c r="AM2" i="5"/>
  <c r="BA11" i="5" l="1"/>
  <c r="BF13" i="5"/>
  <c r="BG13" i="5" s="1"/>
  <c r="BA13" i="5"/>
  <c r="AS3" i="5"/>
  <c r="BR3" i="5"/>
  <c r="BR8" i="5"/>
  <c r="BR10" i="5"/>
  <c r="AU10" i="5"/>
  <c r="BR9" i="5"/>
  <c r="AQ8" i="5"/>
  <c r="AQ10" i="5"/>
  <c r="BR7" i="5"/>
  <c r="BR5" i="5"/>
  <c r="AU7" i="5"/>
  <c r="BR6" i="5"/>
  <c r="AQ5" i="5"/>
  <c r="AQ7" i="5"/>
  <c r="AQ4" i="5"/>
  <c r="BR4" i="5"/>
  <c r="AO10" i="5"/>
  <c r="BQ10" i="5"/>
  <c r="BQ8" i="5"/>
  <c r="AO7" i="5"/>
  <c r="BQ7" i="5"/>
  <c r="BQ5" i="5"/>
  <c r="BQ4" i="5"/>
  <c r="BQ3" i="5"/>
  <c r="AO8" i="5"/>
  <c r="AU8" i="5"/>
  <c r="AX8" i="5"/>
  <c r="AX10" i="5"/>
  <c r="AN9" i="5"/>
  <c r="AO9" i="5" s="1"/>
  <c r="AQ9" i="5"/>
  <c r="AS9" i="5"/>
  <c r="AU9" i="5"/>
  <c r="AO5" i="5"/>
  <c r="AU5" i="5"/>
  <c r="AX7" i="5"/>
  <c r="AX5" i="5"/>
  <c r="AN6" i="5"/>
  <c r="AO6" i="5" s="1"/>
  <c r="AQ6" i="5"/>
  <c r="AU6" i="5"/>
  <c r="AX6" i="5"/>
  <c r="AS4" i="5"/>
  <c r="AU4" i="5"/>
  <c r="AX3" i="5"/>
  <c r="AQ3" i="5"/>
  <c r="AO3" i="5"/>
  <c r="AO4" i="5"/>
  <c r="BM3" i="5"/>
  <c r="BL3" i="5" s="1"/>
  <c r="BM4" i="5"/>
  <c r="BL4" i="5" s="1"/>
  <c r="BM5" i="5"/>
  <c r="BL5" i="5" s="1"/>
  <c r="BM6" i="5"/>
  <c r="BL6" i="5" s="1"/>
  <c r="BM7" i="5"/>
  <c r="BL7" i="5" s="1"/>
  <c r="BM8" i="5"/>
  <c r="BL8" i="5" s="1"/>
  <c r="BM9" i="5"/>
  <c r="BL9" i="5" s="1"/>
  <c r="BM10" i="5"/>
  <c r="BL10" i="5" s="1"/>
  <c r="BM11" i="5"/>
  <c r="BL11" i="5" s="1"/>
  <c r="BM12" i="5"/>
  <c r="BL12" i="5" s="1"/>
  <c r="BM13" i="5"/>
  <c r="BL13" i="5" s="1"/>
  <c r="BM2" i="5"/>
  <c r="BL2" i="5" s="1"/>
  <c r="BD2" i="5"/>
  <c r="BK2" i="5"/>
  <c r="AY3" i="5" l="1"/>
  <c r="AY8" i="5"/>
  <c r="AY9" i="5"/>
  <c r="AZ9" i="5" s="1"/>
  <c r="AY10" i="5"/>
  <c r="AZ10" i="5" s="1"/>
  <c r="BA10" i="5" s="1"/>
  <c r="AY6" i="5"/>
  <c r="AZ6" i="5" s="1"/>
  <c r="AY7" i="5"/>
  <c r="AZ7" i="5" s="1"/>
  <c r="BA7" i="5" s="1"/>
  <c r="AY5" i="5"/>
  <c r="AZ5" i="5" s="1"/>
  <c r="AY4" i="5"/>
  <c r="AZ4" i="5" s="1"/>
  <c r="BF4" i="5" s="1"/>
  <c r="BG4" i="5" s="1"/>
  <c r="AN2" i="5"/>
  <c r="BQ2" i="5"/>
  <c r="AZ8" i="5"/>
  <c r="AZ3" i="5"/>
  <c r="BF3" i="5" s="1"/>
  <c r="BG3" i="5" s="1"/>
  <c r="BO2" i="5"/>
  <c r="BK6" i="5"/>
  <c r="BN6" i="5" s="1"/>
  <c r="BK7" i="5"/>
  <c r="BK8" i="5"/>
  <c r="BN8" i="5" s="1"/>
  <c r="BK11" i="5"/>
  <c r="BN11" i="5" s="1"/>
  <c r="BK10" i="5"/>
  <c r="BN10" i="5" s="1"/>
  <c r="BK13" i="5"/>
  <c r="BN13" i="5" s="1"/>
  <c r="BK12" i="5"/>
  <c r="BN12" i="5" s="1"/>
  <c r="BK9" i="5"/>
  <c r="BN9" i="5" s="1"/>
  <c r="BK4" i="5"/>
  <c r="BN4" i="5" s="1"/>
  <c r="BK5" i="5"/>
  <c r="BN5" i="5" s="1"/>
  <c r="BK3" i="5"/>
  <c r="BN3" i="5" s="1"/>
  <c r="BF10" i="5" l="1"/>
  <c r="BG10" i="5" s="1"/>
  <c r="BO11" i="5"/>
  <c r="BO12" i="5"/>
  <c r="BO13" i="5"/>
  <c r="BF7" i="5"/>
  <c r="BG7" i="5" s="1"/>
  <c r="BA3" i="5"/>
  <c r="BA9" i="5"/>
  <c r="BF9" i="5"/>
  <c r="BG9" i="5" s="1"/>
  <c r="BO8" i="5"/>
  <c r="BF6" i="5"/>
  <c r="BG6" i="5" s="1"/>
  <c r="BA6" i="5"/>
  <c r="BA4" i="5"/>
  <c r="BF8" i="5"/>
  <c r="BG8" i="5" s="1"/>
  <c r="BA8" i="5"/>
  <c r="BO10" i="5"/>
  <c r="BO9" i="5"/>
  <c r="BF5" i="5"/>
  <c r="BG5" i="5" s="1"/>
  <c r="BA5" i="5"/>
  <c r="BO7" i="5"/>
  <c r="BN7" i="5"/>
  <c r="BO5" i="5"/>
  <c r="BO6" i="5"/>
  <c r="BO4" i="5"/>
  <c r="BO3" i="5"/>
  <c r="AC2" i="5" l="1"/>
  <c r="AI2" i="5" s="1"/>
  <c r="AK2" i="5" s="1"/>
  <c r="AO2" i="5" s="1"/>
  <c r="BN2" i="5" s="1"/>
  <c r="AQ2" i="5" l="1"/>
  <c r="AS2" i="5"/>
  <c r="AU2" i="5"/>
  <c r="AX2" i="5"/>
  <c r="AY2" i="5" l="1"/>
  <c r="AZ2" i="5" s="1"/>
  <c r="BF2" i="5" l="1"/>
  <c r="BG2" i="5" s="1"/>
  <c r="BA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heather.zhu@jlahome.com</author>
  </authors>
  <commentList>
    <comment ref="U1" authorId="0" shapeId="0" xr:uid="{A43031B1-DC85-4626-A24B-AB262D16F489}">
      <text>
        <r>
          <rPr>
            <sz val="11"/>
            <rFont val="Calibri"/>
            <family val="2"/>
          </rPr>
          <t>[FOB Cost (Value)]*[Exchange Rate]</t>
        </r>
      </text>
    </comment>
    <comment ref="AC1" authorId="0" shapeId="0" xr:uid="{137D69A4-FAC0-4EE3-B569-8C7AB79E80EF}">
      <text>
        <r>
          <rPr>
            <sz val="11"/>
            <rFont val="Calibri"/>
            <family val="2"/>
          </rPr>
          <t>[Carton Size L (cm)]*[Carton Size W (cm)]*[Carton Size H (cm)]/1000000</t>
        </r>
      </text>
    </comment>
    <comment ref="AI1" authorId="0" shapeId="0" xr:uid="{5313BA53-802B-4D46-99B6-42359EFA8CDE}">
      <text>
        <r>
          <rPr>
            <sz val="11"/>
            <rFont val="Calibri"/>
            <family val="2"/>
          </rPr>
          <t xml:space="preserve">[Container Volumn]/[Cubic Meter per Carton]*[Case Pack]
</t>
        </r>
      </text>
    </comment>
    <comment ref="AK1" authorId="0" shapeId="0" xr:uid="{BEDA3E65-FB1A-4FB4-855D-5B462FC31E04}">
      <text>
        <r>
          <rPr>
            <sz val="11"/>
            <rFont val="Calibri"/>
            <family val="2"/>
          </rPr>
          <t>[40ft Container Freight]/[Total Units per 40ft Container]</t>
        </r>
      </text>
    </comment>
    <comment ref="AN1" authorId="0" shapeId="0" xr:uid="{E404EDE1-E7C1-4613-A108-4E81F388B2AB}">
      <text>
        <r>
          <rPr>
            <sz val="11"/>
            <rFont val="Calibri"/>
            <family val="2"/>
          </rPr>
          <t>[FOB Cost $ (Formula)]*[Duty Rate]</t>
        </r>
      </text>
    </comment>
    <comment ref="AO1" authorId="0" shapeId="0" xr:uid="{F816DABE-E84C-4F04-B8FB-D745276C46BA}">
      <text>
        <r>
          <rPr>
            <sz val="11"/>
            <rFont val="Calibri"/>
            <family val="2"/>
          </rPr>
          <t>[FOB Cost $ (Formula)]+[Ocean Freight per Item $]+[Duty per Item $]</t>
        </r>
      </text>
    </comment>
    <comment ref="AQ1" authorId="0" shapeId="0" xr:uid="{E9E29836-2CEC-4E14-98F0-97403CBAC5B6}">
      <text>
        <r>
          <rPr>
            <sz val="11"/>
            <rFont val="Calibri"/>
            <family val="2"/>
          </rPr>
          <t>[Standard Price]*[DA %]</t>
        </r>
      </text>
    </comment>
    <comment ref="AS1" authorId="0" shapeId="0" xr:uid="{432D660A-4B6A-40D5-9357-36FC52DE7BD5}">
      <text>
        <r>
          <rPr>
            <sz val="11"/>
            <rFont val="Calibri"/>
            <family val="2"/>
          </rPr>
          <t>[Standard Price]*[Warehouse Charge %]</t>
        </r>
      </text>
    </comment>
    <comment ref="AU1" authorId="0" shapeId="0" xr:uid="{B7979F8D-5AA0-4620-AC90-7A7894B95D3D}">
      <text>
        <r>
          <rPr>
            <sz val="11"/>
            <rFont val="Calibri"/>
            <family val="2"/>
          </rPr>
          <t>[Standard Price]*[Marketing %]</t>
        </r>
      </text>
    </comment>
    <comment ref="AX1" authorId="0" shapeId="0" xr:uid="{55F9AB7A-F55E-4DBA-8839-0DD91F07CE98}">
      <text>
        <r>
          <rPr>
            <sz val="11"/>
            <rFont val="Calibri"/>
            <family val="2"/>
          </rPr>
          <t>[Standard Price]*[Other Load %]</t>
        </r>
      </text>
    </comment>
    <comment ref="AY1" authorId="0" shapeId="0" xr:uid="{4F149159-1AE5-4C93-85FC-77D666DE71B2}">
      <text>
        <r>
          <rPr>
            <sz val="11"/>
            <rFont val="Calibri"/>
            <family val="2"/>
          </rPr>
          <t>[DA $]+[Warehouse Charge $]+[Marketing $]+[Other Load $]</t>
        </r>
      </text>
    </comment>
    <comment ref="AZ1" authorId="0" shapeId="0" xr:uid="{E4C7AF63-9A24-42EC-9DE5-70287BD58F64}">
      <text>
        <r>
          <rPr>
            <sz val="11"/>
            <rFont val="Calibri"/>
            <family val="2"/>
          </rPr>
          <t>[LDP Cost $]+[Total Load $]</t>
        </r>
      </text>
    </comment>
    <comment ref="BA1" authorId="0" shapeId="0" xr:uid="{4A0A7424-BF21-429A-BC98-28F493F28EBA}">
      <text>
        <r>
          <rPr>
            <sz val="11"/>
            <rFont val="Calibri"/>
            <family val="2"/>
          </rPr>
          <t>([JLA Domestic Price]-[LDP Cost with Load $])/[JLA Domestic Price]</t>
        </r>
      </text>
    </comment>
    <comment ref="BB1" authorId="0" shapeId="0" xr:uid="{3E6ED19A-1B5D-426C-8CA8-99F570F87E41}">
      <text>
        <r>
          <rPr>
            <sz val="11"/>
            <rFont val="Calibri"/>
            <family val="2"/>
          </rPr>
          <t>[Average Retail Price]*(1-Average Retail Markup %)</t>
        </r>
      </text>
    </comment>
    <comment ref="BD1" authorId="0" shapeId="0" xr:uid="{2C6D88FA-1395-46E4-941F-B89768A7A8BA}">
      <text>
        <r>
          <rPr>
            <sz val="11"/>
            <rFont val="Calibri"/>
            <family val="2"/>
          </rPr>
          <t>[Average Retail Price]*[Retail Marketing %]</t>
        </r>
      </text>
    </comment>
    <comment ref="BF1" authorId="0" shapeId="0" xr:uid="{B15A286B-5F36-4022-9D91-9AA57A2A81A6}">
      <text>
        <r>
          <rPr>
            <sz val="11"/>
            <rFont val="Calibri"/>
            <family val="2"/>
          </rPr>
          <t>[Average Retail Price]*(1-60%)</t>
        </r>
      </text>
    </comment>
    <comment ref="BG1" authorId="0" shapeId="0" xr:uid="{B5F7F0AE-29FD-4B6C-AB73-E768BB4D130F}">
      <text>
        <r>
          <rPr>
            <sz val="11"/>
            <rFont val="Calibri"/>
            <family val="2"/>
          </rPr>
          <t>([Average Retail Price]-[Total Cost w/ Retail Expenses])/[Average Retail Price]</t>
        </r>
      </text>
    </comment>
    <comment ref="BK1" authorId="0" shapeId="0" xr:uid="{6A536D7E-099F-45CB-9B41-637069B7EC13}">
      <text>
        <r>
          <rPr>
            <sz val="11"/>
            <rFont val="Calibri"/>
            <family val="2"/>
          </rPr>
          <t>=[Standard Price]</t>
        </r>
      </text>
    </comment>
    <comment ref="BL1" authorId="0" shapeId="0" xr:uid="{D73BEADE-DACE-4790-B2C5-EC29D3CFD851}">
      <text>
        <r>
          <rPr>
            <sz val="11"/>
            <rFont val="Calibri"/>
            <family val="2"/>
          </rPr>
          <t>[JLA POE Price]*[Total Quantity]</t>
        </r>
      </text>
    </comment>
    <comment ref="BM1" authorId="0" shapeId="0" xr:uid="{E50B8CF6-43E1-47AB-9D75-99EE190CA11F}">
      <text>
        <r>
          <rPr>
            <sz val="11"/>
            <rFont val="Calibri"/>
            <family val="2"/>
          </rPr>
          <t>=[Average Retail Price]</t>
        </r>
      </text>
    </comment>
    <comment ref="BN1" authorId="0" shapeId="0" xr:uid="{8822251A-6986-425D-ADC9-8091EE6B455D}">
      <text>
        <r>
          <rPr>
            <sz val="11"/>
            <rFont val="Calibri"/>
            <family val="2"/>
          </rPr>
          <t>([Customer Cost]-[LDP Cost])/[Customer Cost]</t>
        </r>
      </text>
    </comment>
    <comment ref="BO1" authorId="0" shapeId="0" xr:uid="{9B506101-DD83-49EB-80E3-80A2B70DC526}">
      <text>
        <r>
          <rPr>
            <sz val="11"/>
            <rFont val="Calibri"/>
            <family val="2"/>
          </rPr>
          <t>([Suggested Retail Price]-[Customer Cost])/Suggested Retail Price]</t>
        </r>
      </text>
    </comment>
  </commentList>
</comments>
</file>

<file path=xl/sharedStrings.xml><?xml version="1.0" encoding="utf-8"?>
<sst xmlns="http://schemas.openxmlformats.org/spreadsheetml/2006/main" count="234" uniqueCount="107">
  <si>
    <t>Brand</t>
  </si>
  <si>
    <t>Package Type</t>
  </si>
  <si>
    <t>Licensor</t>
  </si>
  <si>
    <t>Normal</t>
  </si>
  <si>
    <t>Harbor House</t>
  </si>
  <si>
    <t>Piece</t>
  </si>
  <si>
    <t>Line No.</t>
  </si>
  <si>
    <t>Photo</t>
  </si>
  <si>
    <t>VIN/Art No.</t>
  </si>
  <si>
    <t>Product Category</t>
  </si>
  <si>
    <t>Pattern</t>
  </si>
  <si>
    <t>Item Description</t>
  </si>
  <si>
    <t>Description-Short</t>
  </si>
  <si>
    <t>Fabrication</t>
  </si>
  <si>
    <t>Size/Spec.</t>
  </si>
  <si>
    <t>Color</t>
  </si>
  <si>
    <t>Item No.</t>
  </si>
  <si>
    <t>UPC</t>
  </si>
  <si>
    <t>Unit of Measure</t>
  </si>
  <si>
    <t>Carton Size L (cm)</t>
  </si>
  <si>
    <t>Carton Size W (cm)</t>
  </si>
  <si>
    <t>Carton Size H (cm)</t>
  </si>
  <si>
    <t>Case Pack</t>
  </si>
  <si>
    <t>Cubic Meter per Carton</t>
  </si>
  <si>
    <t>Container Volume</t>
  </si>
  <si>
    <t>Total Units per 40ft Container</t>
  </si>
  <si>
    <t>40ft Container Freight</t>
  </si>
  <si>
    <t>Ocean Freight per Item $</t>
  </si>
  <si>
    <t>HTS Code</t>
  </si>
  <si>
    <t>Duty Rate</t>
  </si>
  <si>
    <t>Duty per Item $</t>
  </si>
  <si>
    <t>LDP Cost $</t>
  </si>
  <si>
    <t>DA %</t>
  </si>
  <si>
    <t>DA $</t>
  </si>
  <si>
    <t>Warehouse Charge %</t>
  </si>
  <si>
    <t>Warehouse Charge $</t>
  </si>
  <si>
    <t>Total Load $</t>
  </si>
  <si>
    <t>LDP Cost with Load $</t>
  </si>
  <si>
    <t>Total Quantity</t>
  </si>
  <si>
    <t>SHEET/SHEET SET</t>
  </si>
  <si>
    <t>UCCPM Price</t>
  </si>
  <si>
    <t>Customer Item#</t>
  </si>
  <si>
    <t>JLA Domestic MU%</t>
  </si>
  <si>
    <t>Trim</t>
  </si>
  <si>
    <t>Material-Short</t>
  </si>
  <si>
    <t>FOB Cost (Value)</t>
  </si>
  <si>
    <t>Exchange Rate</t>
  </si>
  <si>
    <t>Product Size L (in)</t>
  </si>
  <si>
    <t>Product Size W (in)</t>
  </si>
  <si>
    <t>Product Size H (in)</t>
  </si>
  <si>
    <t>Product Net Weight (lb)</t>
  </si>
  <si>
    <t>Other Load</t>
  </si>
  <si>
    <t>Other Load %</t>
  </si>
  <si>
    <t>Other Load $</t>
  </si>
  <si>
    <t>Marketing $</t>
  </si>
  <si>
    <t>Marketing %</t>
  </si>
  <si>
    <t>Standard Price</t>
  </si>
  <si>
    <t>Average Retail Price</t>
  </si>
  <si>
    <t>Retail Marketing %</t>
  </si>
  <si>
    <t>Retail Marketing $</t>
  </si>
  <si>
    <t>Shipping Fee</t>
  </si>
  <si>
    <t>Total Cost w/ Retail Expenses</t>
  </si>
  <si>
    <t>Retail Markup %</t>
  </si>
  <si>
    <t>Customer Cost</t>
  </si>
  <si>
    <t>MAP $</t>
  </si>
  <si>
    <t>Suggested Retail Price</t>
  </si>
  <si>
    <t>Retailer Markup %</t>
  </si>
  <si>
    <t>Load % + Margin %</t>
  </si>
  <si>
    <t>Sheet Set</t>
    <phoneticPr fontId="11" type="noConversion"/>
  </si>
  <si>
    <t>Queen: 92"x105"/60"x80"+16"/20"x30"(2)</t>
    <phoneticPr fontId="11" type="noConversion"/>
  </si>
  <si>
    <t>6302.31.9020</t>
    <phoneticPr fontId="11" type="noConversion"/>
  </si>
  <si>
    <t>King: 110"x105"/78"x80"+16"/20"x40"(2)</t>
    <phoneticPr fontId="11" type="noConversion"/>
  </si>
  <si>
    <t>Cal King: 110"x105"/72"x84"+16"/20"x40"(2)</t>
    <phoneticPr fontId="11" type="noConversion"/>
  </si>
  <si>
    <t>Linen</t>
    <phoneticPr fontId="11" type="noConversion"/>
  </si>
  <si>
    <t>Cotton Sateen</t>
    <phoneticPr fontId="11" type="noConversion"/>
  </si>
  <si>
    <t>Grey</t>
    <phoneticPr fontId="11" type="noConversion"/>
  </si>
  <si>
    <t>FOB Cost (RMB)</t>
  </si>
  <si>
    <t xml:space="preserve">Supima Cotton Sheet Set </t>
    <phoneticPr fontId="11" type="noConversion"/>
  </si>
  <si>
    <t>Fabirc: 500TC 100% Supima cotton sateen 
Fitted sheet fits mattresses up to 16" deep and has 1" elastic all the way around and pillowcase included in size.  Hemstitch in flat and pillowcase return.
Packing:  HH print gift box. Case pack 4/3/3</t>
    <phoneticPr fontId="11" type="noConversion"/>
  </si>
  <si>
    <t>Elina</t>
  </si>
  <si>
    <t>Off White</t>
    <phoneticPr fontId="11" type="noConversion"/>
  </si>
  <si>
    <t>Bright White</t>
  </si>
  <si>
    <t>022164688207</t>
  </si>
  <si>
    <t>HHD20-1995</t>
  </si>
  <si>
    <t>022164688214</t>
  </si>
  <si>
    <t>HHD20-1996</t>
  </si>
  <si>
    <t>022164688221</t>
  </si>
  <si>
    <t>HHD20-1997</t>
  </si>
  <si>
    <t>022164688238</t>
  </si>
  <si>
    <t>HHD20-1998</t>
  </si>
  <si>
    <t>022164688245</t>
  </si>
  <si>
    <t>HHD20-1999</t>
  </si>
  <si>
    <t>022164688252</t>
  </si>
  <si>
    <t>022164688269</t>
  </si>
  <si>
    <t>HHD20-2001</t>
  </si>
  <si>
    <t>022164688276</t>
  </si>
  <si>
    <t>HHD20-2002</t>
  </si>
  <si>
    <t>022164688283</t>
  </si>
  <si>
    <t>HHD20-2003</t>
  </si>
  <si>
    <t>022164688290</t>
  </si>
  <si>
    <t>HHD20-2004</t>
  </si>
  <si>
    <t>022164688306</t>
  </si>
  <si>
    <t>HHD20-2005</t>
  </si>
  <si>
    <t>022164688313</t>
  </si>
  <si>
    <t>HHD20-1994</t>
    <phoneticPr fontId="11" type="noConversion"/>
  </si>
  <si>
    <t>HHD20-2000</t>
    <phoneticPr fontId="11" type="noConversion"/>
  </si>
  <si>
    <t>Average Retail Markup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</si>
</sst>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 #,##0.00_ ;_ * \-#,##0.00_ ;_ * &quot;-&quot;??_ ;_ @_ "/>
    <numFmt numFmtId="176" formatCode="_(&quot;$&quot;* #,##0.00_);_(&quot;$&quot;* \(#,##0.00\);_(&quot;$&quot;* &quot;-&quot;??_);_(@_)"/>
    <numFmt numFmtId="177" formatCode="&quot;$&quot;#,##0.00"/>
    <numFmt numFmtId="178" formatCode="[$$-409]#,##0.00;\-[$$-409]#,##0.00"/>
    <numFmt numFmtId="179" formatCode="[$-409]dd/mmm/yy;@"/>
    <numFmt numFmtId="180" formatCode="0.0%"/>
    <numFmt numFmtId="181" formatCode="0.0"/>
    <numFmt numFmtId="182" formatCode="&quot;$&quot;#,##0.0000"/>
    <numFmt numFmtId="183" formatCode="0.000"/>
    <numFmt numFmtId="184" formatCode="0.00_ "/>
    <numFmt numFmtId="185" formatCode="\$#,##0.00;\-\$#,##0.00"/>
  </numFmts>
  <fonts count="17">
    <font>
      <sz val="11"/>
      <name val="Calibri"/>
    </font>
    <font>
      <sz val="11"/>
      <color theme="1"/>
      <name val="等线"/>
      <family val="2"/>
      <scheme val="minor"/>
    </font>
    <font>
      <b/>
      <sz val="11"/>
      <name val="Calibri"/>
      <family val="2"/>
    </font>
    <font>
      <sz val="11"/>
      <name val="Calibri"/>
      <family val="2"/>
    </font>
    <font>
      <sz val="10"/>
      <name val="Arial"/>
      <family val="2"/>
    </font>
    <font>
      <sz val="10"/>
      <color indexed="12"/>
      <name val="Arial"/>
      <family val="2"/>
    </font>
    <font>
      <b/>
      <sz val="10"/>
      <name val="Arial"/>
      <family val="2"/>
    </font>
    <font>
      <sz val="10"/>
      <color theme="1"/>
      <name val="Arial"/>
      <family val="2"/>
    </font>
    <font>
      <b/>
      <i/>
      <sz val="11"/>
      <name val="Calibri"/>
      <family val="2"/>
    </font>
    <font>
      <b/>
      <sz val="10"/>
      <color indexed="12"/>
      <name val="Arial"/>
      <family val="2"/>
    </font>
    <font>
      <sz val="11"/>
      <color theme="1"/>
      <name val="等线"/>
      <family val="2"/>
      <charset val="134"/>
      <scheme val="minor"/>
    </font>
    <font>
      <sz val="9"/>
      <name val="宋体"/>
      <family val="3"/>
      <charset val="134"/>
    </font>
    <font>
      <sz val="12"/>
      <color theme="1"/>
      <name val="等线"/>
      <family val="2"/>
      <scheme val="minor"/>
    </font>
    <font>
      <sz val="11"/>
      <color theme="1"/>
      <name val="等线"/>
      <family val="3"/>
      <charset val="134"/>
      <scheme val="minor"/>
    </font>
    <font>
      <sz val="11"/>
      <name val="Calibri"/>
      <family val="2"/>
    </font>
    <font>
      <sz val="10"/>
      <color theme="1"/>
      <name val="等线"/>
      <family val="3"/>
      <charset val="134"/>
      <scheme val="minor"/>
    </font>
    <font>
      <sz val="9"/>
      <color theme="1" tint="4.9989318521683403E-2"/>
      <name val="微软雅黑"/>
      <family val="2"/>
      <charset val="134"/>
    </font>
  </fonts>
  <fills count="10">
    <fill>
      <patternFill patternType="none"/>
    </fill>
    <fill>
      <patternFill patternType="gray125"/>
    </fill>
    <fill>
      <patternFill patternType="solid">
        <fgColor theme="2"/>
        <bgColor indexed="64"/>
      </patternFill>
    </fill>
    <fill>
      <patternFill patternType="solid">
        <fgColor rgb="FF92D050"/>
        <bgColor indexed="64"/>
      </patternFill>
    </fill>
    <fill>
      <patternFill patternType="solid">
        <fgColor theme="5" tint="0.79998168889431442"/>
        <bgColor indexed="64"/>
      </patternFill>
    </fill>
    <fill>
      <patternFill patternType="solid">
        <fgColor rgb="FFFFFFCC"/>
        <bgColor indexed="64"/>
      </patternFill>
    </fill>
    <fill>
      <patternFill patternType="solid">
        <fgColor rgb="FFFFFF00"/>
        <bgColor indexed="64"/>
      </patternFill>
    </fill>
    <fill>
      <patternFill patternType="solid">
        <fgColor theme="5" tint="0.59999389629810485"/>
        <bgColor indexed="64"/>
      </patternFill>
    </fill>
    <fill>
      <patternFill patternType="solid">
        <fgColor theme="0"/>
        <bgColor indexed="64"/>
      </patternFill>
    </fill>
    <fill>
      <patternFill patternType="solid">
        <fgColor theme="6" tint="0.39997558519241921"/>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28">
    <xf numFmtId="0" fontId="0" fillId="0" borderId="0"/>
    <xf numFmtId="0" fontId="4" fillId="0" borderId="0"/>
    <xf numFmtId="0" fontId="4" fillId="0" borderId="0"/>
    <xf numFmtId="0" fontId="4" fillId="0" borderId="0"/>
    <xf numFmtId="0" fontId="3" fillId="0" borderId="0"/>
    <xf numFmtId="9" fontId="3" fillId="0" borderId="0" applyFont="0" applyFill="0" applyBorder="0" applyAlignment="0" applyProtection="0"/>
    <xf numFmtId="179" fontId="4" fillId="0" borderId="0"/>
    <xf numFmtId="9" fontId="4" fillId="0" borderId="0" applyFont="0" applyFill="0" applyBorder="0" applyAlignment="0" applyProtection="0"/>
    <xf numFmtId="176" fontId="4" fillId="0" borderId="0" applyFont="0" applyFill="0" applyBorder="0" applyAlignment="0" applyProtection="0"/>
    <xf numFmtId="179" fontId="4" fillId="0" borderId="0"/>
    <xf numFmtId="0" fontId="10" fillId="0" borderId="0">
      <alignment vertical="center"/>
    </xf>
    <xf numFmtId="9" fontId="10"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alignment vertical="center"/>
    </xf>
    <xf numFmtId="9" fontId="4" fillId="0" borderId="0" applyFont="0" applyFill="0" applyBorder="0" applyAlignment="0" applyProtection="0"/>
    <xf numFmtId="179" fontId="4" fillId="0" borderId="0"/>
    <xf numFmtId="0" fontId="1" fillId="0" borderId="0"/>
    <xf numFmtId="9" fontId="1" fillId="0" borderId="0" applyFont="0" applyFill="0" applyBorder="0" applyAlignment="0" applyProtection="0"/>
    <xf numFmtId="0" fontId="12" fillId="0" borderId="0"/>
    <xf numFmtId="0" fontId="4" fillId="0" borderId="0"/>
    <xf numFmtId="176" fontId="13" fillId="0" borderId="0" applyFont="0" applyFill="0" applyBorder="0" applyAlignment="0" applyProtection="0"/>
    <xf numFmtId="9" fontId="13" fillId="0" borderId="0" applyFont="0" applyFill="0" applyBorder="0" applyAlignment="0" applyProtection="0"/>
    <xf numFmtId="0" fontId="13" fillId="0" borderId="0"/>
    <xf numFmtId="176" fontId="4" fillId="0" borderId="0" applyFont="0" applyFill="0" applyBorder="0" applyAlignment="0" applyProtection="0"/>
    <xf numFmtId="176" fontId="14" fillId="0" borderId="0" applyFont="0" applyFill="0" applyBorder="0" applyAlignment="0" applyProtection="0"/>
    <xf numFmtId="0" fontId="15" fillId="0" borderId="0" applyNumberFormat="0" applyFont="0" applyFill="0" applyBorder="0" applyProtection="0"/>
    <xf numFmtId="179" fontId="4" fillId="0" borderId="0"/>
  </cellStyleXfs>
  <cellXfs count="73">
    <xf numFmtId="0" fontId="0" fillId="0" borderId="0" xfId="0"/>
    <xf numFmtId="0" fontId="3" fillId="0" borderId="0" xfId="4" applyAlignment="1">
      <alignment horizontal="center" wrapText="1"/>
    </xf>
    <xf numFmtId="0" fontId="3" fillId="0" borderId="0" xfId="4" applyAlignment="1">
      <alignment wrapText="1"/>
    </xf>
    <xf numFmtId="177" fontId="3" fillId="0" borderId="0" xfId="4" applyNumberFormat="1"/>
    <xf numFmtId="10" fontId="3" fillId="0" borderId="0" xfId="4" applyNumberFormat="1" applyAlignment="1">
      <alignment wrapText="1"/>
    </xf>
    <xf numFmtId="177" fontId="3" fillId="0" borderId="0" xfId="4" applyNumberFormat="1" applyAlignment="1">
      <alignment wrapText="1"/>
    </xf>
    <xf numFmtId="0" fontId="2" fillId="0" borderId="1" xfId="4" applyFont="1" applyBorder="1" applyAlignment="1">
      <alignment horizontal="center" wrapText="1"/>
    </xf>
    <xf numFmtId="0" fontId="2" fillId="5" borderId="1" xfId="4" applyFont="1" applyFill="1" applyBorder="1" applyAlignment="1">
      <alignment horizontal="center" wrapText="1"/>
    </xf>
    <xf numFmtId="0" fontId="8" fillId="5" borderId="1" xfId="4" applyFont="1" applyFill="1" applyBorder="1" applyAlignment="1">
      <alignment horizontal="center" wrapText="1"/>
    </xf>
    <xf numFmtId="0" fontId="8" fillId="6" borderId="1" xfId="4" applyFont="1" applyFill="1" applyBorder="1" applyAlignment="1">
      <alignment horizontal="center" wrapText="1"/>
    </xf>
    <xf numFmtId="0" fontId="2" fillId="6" borderId="1" xfId="4" applyFont="1" applyFill="1" applyBorder="1" applyAlignment="1">
      <alignment horizontal="center" wrapText="1"/>
    </xf>
    <xf numFmtId="0" fontId="8" fillId="0" borderId="1" xfId="4" applyFont="1" applyBorder="1" applyAlignment="1">
      <alignment horizontal="center" wrapText="1"/>
    </xf>
    <xf numFmtId="2" fontId="2" fillId="0" borderId="1" xfId="4" applyNumberFormat="1" applyFont="1" applyBorder="1" applyAlignment="1">
      <alignment horizontal="center" wrapText="1"/>
    </xf>
    <xf numFmtId="1" fontId="2" fillId="0" borderId="1" xfId="4" applyNumberFormat="1" applyFont="1" applyBorder="1" applyAlignment="1">
      <alignment horizontal="center" wrapText="1"/>
    </xf>
    <xf numFmtId="2" fontId="6" fillId="0" borderId="1" xfId="1" applyNumberFormat="1" applyFont="1" applyBorder="1" applyAlignment="1">
      <alignment wrapText="1"/>
    </xf>
    <xf numFmtId="1" fontId="9" fillId="0" borderId="1" xfId="1" applyNumberFormat="1" applyFont="1" applyBorder="1" applyAlignment="1">
      <alignment wrapText="1"/>
    </xf>
    <xf numFmtId="177" fontId="9" fillId="0" borderId="1" xfId="1" applyNumberFormat="1" applyFont="1" applyBorder="1" applyAlignment="1">
      <alignment wrapText="1"/>
    </xf>
    <xf numFmtId="10" fontId="2" fillId="0" borderId="1" xfId="4" applyNumberFormat="1" applyFont="1" applyBorder="1" applyAlignment="1">
      <alignment horizontal="center" wrapText="1"/>
    </xf>
    <xf numFmtId="177" fontId="9" fillId="6" borderId="1" xfId="1" applyNumberFormat="1" applyFont="1" applyFill="1" applyBorder="1" applyAlignment="1">
      <alignment wrapText="1"/>
    </xf>
    <xf numFmtId="10" fontId="9" fillId="3" borderId="1" xfId="1" applyNumberFormat="1" applyFont="1" applyFill="1" applyBorder="1" applyAlignment="1">
      <alignment wrapText="1"/>
    </xf>
    <xf numFmtId="0" fontId="3" fillId="0" borderId="1" xfId="4" applyBorder="1" applyAlignment="1">
      <alignment horizontal="center"/>
    </xf>
    <xf numFmtId="0" fontId="3" fillId="0" borderId="1" xfId="4" applyBorder="1"/>
    <xf numFmtId="178" fontId="3" fillId="0" borderId="1" xfId="4" applyNumberFormat="1" applyBorder="1"/>
    <xf numFmtId="1" fontId="3" fillId="0" borderId="1" xfId="4" applyNumberFormat="1" applyBorder="1"/>
    <xf numFmtId="2" fontId="3" fillId="0" borderId="1" xfId="4" applyNumberFormat="1" applyBorder="1"/>
    <xf numFmtId="1" fontId="3" fillId="2" borderId="1" xfId="4" applyNumberFormat="1" applyFill="1" applyBorder="1"/>
    <xf numFmtId="3" fontId="3" fillId="0" borderId="1" xfId="4" applyNumberFormat="1" applyBorder="1"/>
    <xf numFmtId="177" fontId="3" fillId="2" borderId="1" xfId="4" applyNumberFormat="1" applyFill="1" applyBorder="1"/>
    <xf numFmtId="180" fontId="3" fillId="0" borderId="1" xfId="4" applyNumberFormat="1" applyBorder="1"/>
    <xf numFmtId="10" fontId="3" fillId="0" borderId="1" xfId="4" applyNumberFormat="1" applyBorder="1"/>
    <xf numFmtId="10" fontId="0" fillId="2" borderId="1" xfId="5" applyNumberFormat="1" applyFont="1" applyFill="1" applyBorder="1" applyAlignment="1"/>
    <xf numFmtId="177" fontId="3" fillId="0" borderId="1" xfId="4" applyNumberFormat="1" applyBorder="1"/>
    <xf numFmtId="0" fontId="3" fillId="0" borderId="0" xfId="4"/>
    <xf numFmtId="2" fontId="3" fillId="0" borderId="0" xfId="4" applyNumberFormat="1" applyAlignment="1">
      <alignment wrapText="1"/>
    </xf>
    <xf numFmtId="1" fontId="3" fillId="0" borderId="0" xfId="4" applyNumberFormat="1" applyAlignment="1">
      <alignment wrapText="1"/>
    </xf>
    <xf numFmtId="181" fontId="2" fillId="0" borderId="1" xfId="4" applyNumberFormat="1" applyFont="1" applyBorder="1" applyAlignment="1">
      <alignment horizontal="center" wrapText="1"/>
    </xf>
    <xf numFmtId="181" fontId="3" fillId="0" borderId="0" xfId="4" applyNumberFormat="1" applyAlignment="1">
      <alignment wrapText="1"/>
    </xf>
    <xf numFmtId="177" fontId="3" fillId="0" borderId="2" xfId="4" applyNumberFormat="1" applyBorder="1" applyAlignment="1">
      <alignment horizontal="center" wrapText="1"/>
    </xf>
    <xf numFmtId="177" fontId="6" fillId="0" borderId="1" xfId="1" applyNumberFormat="1" applyFont="1" applyBorder="1" applyAlignment="1">
      <alignment wrapText="1"/>
    </xf>
    <xf numFmtId="182" fontId="3" fillId="0" borderId="0" xfId="4" applyNumberFormat="1" applyAlignment="1">
      <alignment wrapText="1"/>
    </xf>
    <xf numFmtId="177" fontId="9" fillId="3" borderId="1" xfId="1" applyNumberFormat="1" applyFont="1" applyFill="1" applyBorder="1" applyAlignment="1">
      <alignment wrapText="1"/>
    </xf>
    <xf numFmtId="0" fontId="3" fillId="0" borderId="4" xfId="4" applyBorder="1" applyAlignment="1">
      <alignment wrapText="1"/>
    </xf>
    <xf numFmtId="0" fontId="3" fillId="0" borderId="4" xfId="4" applyBorder="1"/>
    <xf numFmtId="183" fontId="9" fillId="0" borderId="1" xfId="1" applyNumberFormat="1" applyFont="1" applyBorder="1" applyAlignment="1">
      <alignment wrapText="1"/>
    </xf>
    <xf numFmtId="183" fontId="3" fillId="2" borderId="1" xfId="4" applyNumberFormat="1" applyFill="1" applyBorder="1"/>
    <xf numFmtId="183" fontId="3" fillId="0" borderId="0" xfId="4" applyNumberFormat="1" applyAlignment="1">
      <alignment wrapText="1"/>
    </xf>
    <xf numFmtId="0" fontId="2" fillId="6" borderId="4" xfId="4" applyFont="1" applyFill="1" applyBorder="1" applyAlignment="1">
      <alignment horizontal="center" wrapText="1"/>
    </xf>
    <xf numFmtId="177" fontId="3" fillId="0" borderId="4" xfId="4" applyNumberFormat="1" applyBorder="1"/>
    <xf numFmtId="177" fontId="2" fillId="4" borderId="4" xfId="4" applyNumberFormat="1" applyFont="1" applyFill="1" applyBorder="1" applyAlignment="1">
      <alignment wrapText="1"/>
    </xf>
    <xf numFmtId="4" fontId="3" fillId="0" borderId="0" xfId="4" applyNumberFormat="1" applyAlignment="1">
      <alignment wrapText="1"/>
    </xf>
    <xf numFmtId="2" fontId="2" fillId="4" borderId="4" xfId="4" applyNumberFormat="1" applyFont="1" applyFill="1" applyBorder="1" applyAlignment="1">
      <alignment wrapText="1"/>
    </xf>
    <xf numFmtId="2" fontId="3" fillId="0" borderId="5" xfId="4" applyNumberFormat="1" applyBorder="1"/>
    <xf numFmtId="177" fontId="3" fillId="2" borderId="4" xfId="4" applyNumberFormat="1" applyFill="1" applyBorder="1"/>
    <xf numFmtId="10" fontId="6" fillId="3" borderId="5" xfId="1" applyNumberFormat="1" applyFont="1" applyFill="1" applyBorder="1" applyAlignment="1">
      <alignment wrapText="1"/>
    </xf>
    <xf numFmtId="10" fontId="3" fillId="0" borderId="4" xfId="4" applyNumberFormat="1" applyBorder="1"/>
    <xf numFmtId="177" fontId="6" fillId="0" borderId="5" xfId="1" applyNumberFormat="1" applyFont="1" applyBorder="1" applyAlignment="1">
      <alignment wrapText="1"/>
    </xf>
    <xf numFmtId="10" fontId="3" fillId="2" borderId="1" xfId="4" applyNumberFormat="1" applyFill="1" applyBorder="1"/>
    <xf numFmtId="177" fontId="6" fillId="0" borderId="0" xfId="1" applyNumberFormat="1" applyFont="1" applyAlignment="1">
      <alignment wrapText="1"/>
    </xf>
    <xf numFmtId="177" fontId="6" fillId="3" borderId="4" xfId="1" applyNumberFormat="1" applyFont="1" applyFill="1" applyBorder="1" applyAlignment="1">
      <alignment wrapText="1"/>
    </xf>
    <xf numFmtId="177" fontId="7" fillId="2" borderId="3" xfId="25" applyNumberFormat="1" applyFont="1" applyFill="1" applyBorder="1" applyAlignment="1">
      <alignment horizontal="center" vertical="center"/>
    </xf>
    <xf numFmtId="182" fontId="5" fillId="2" borderId="4" xfId="1" applyNumberFormat="1" applyFont="1" applyFill="1" applyBorder="1" applyAlignment="1">
      <alignment wrapText="1"/>
    </xf>
    <xf numFmtId="177" fontId="5" fillId="2" borderId="1" xfId="1" applyNumberFormat="1" applyFont="1" applyFill="1" applyBorder="1" applyAlignment="1">
      <alignment wrapText="1"/>
    </xf>
    <xf numFmtId="10" fontId="5" fillId="2" borderId="1" xfId="1" applyNumberFormat="1" applyFont="1" applyFill="1" applyBorder="1" applyAlignment="1">
      <alignment wrapText="1"/>
    </xf>
    <xf numFmtId="0" fontId="16" fillId="8" borderId="4" xfId="26" applyFont="1" applyFill="1" applyBorder="1" applyAlignment="1">
      <alignment horizontal="center" vertical="center"/>
    </xf>
    <xf numFmtId="184" fontId="16" fillId="8" borderId="4" xfId="26" applyNumberFormat="1" applyFont="1" applyFill="1" applyBorder="1" applyAlignment="1">
      <alignment horizontal="center" vertical="center" wrapText="1"/>
    </xf>
    <xf numFmtId="185" fontId="3" fillId="0" borderId="0" xfId="4" applyNumberFormat="1"/>
    <xf numFmtId="2" fontId="9" fillId="4" borderId="4" xfId="1" applyNumberFormat="1" applyFont="1" applyFill="1" applyBorder="1" applyAlignment="1">
      <alignment wrapText="1"/>
    </xf>
    <xf numFmtId="177" fontId="6" fillId="7" borderId="4" xfId="1" applyNumberFormat="1" applyFont="1" applyFill="1" applyBorder="1" applyAlignment="1">
      <alignment wrapText="1"/>
    </xf>
    <xf numFmtId="2" fontId="3" fillId="2" borderId="4" xfId="4" applyNumberFormat="1" applyFill="1" applyBorder="1"/>
    <xf numFmtId="0" fontId="0" fillId="6" borderId="4" xfId="0" applyFill="1" applyBorder="1" applyAlignment="1">
      <alignment wrapText="1"/>
    </xf>
    <xf numFmtId="0" fontId="3" fillId="6" borderId="4" xfId="0" applyFont="1" applyFill="1" applyBorder="1" applyAlignment="1">
      <alignment wrapText="1"/>
    </xf>
    <xf numFmtId="177" fontId="9" fillId="9" borderId="4" xfId="1" applyNumberFormat="1" applyFont="1" applyFill="1" applyBorder="1" applyAlignment="1">
      <alignment wrapText="1"/>
    </xf>
    <xf numFmtId="177" fontId="6" fillId="9" borderId="4" xfId="1" applyNumberFormat="1" applyFont="1" applyFill="1" applyBorder="1" applyAlignment="1">
      <alignment wrapText="1"/>
    </xf>
  </cellXfs>
  <cellStyles count="28">
    <cellStyle name="Currency 2 2 2" xfId="8" xr:uid="{C2EF2C26-C451-44C1-B6BC-05E871A7681D}"/>
    <cellStyle name="Normal 1 2" xfId="20" xr:uid="{95A1E287-037A-4264-9403-A58E8EB4F90E}"/>
    <cellStyle name="Normal 2" xfId="4" xr:uid="{A726E472-5091-4176-87EE-43E00D126BFD}"/>
    <cellStyle name="Normal 2 18 2" xfId="1" xr:uid="{1BA08453-9F65-454B-A4A0-7177E70831F2}"/>
    <cellStyle name="Normal 3 2 15" xfId="19" xr:uid="{69B78EE6-AAE5-4F0B-A31A-347086751A04}"/>
    <cellStyle name="Normal 35" xfId="6" xr:uid="{0C70E6D3-78F0-4522-8A03-1830168E43CB}"/>
    <cellStyle name="Normal 52" xfId="17" xr:uid="{03907157-7043-4107-A7C2-FFCB223AB12E}"/>
    <cellStyle name="Normal_West End Quote Sheet for Fred Meyer20090804-Hellen" xfId="27" xr:uid="{91D0631D-362E-4379-B905-9F36E3263FBF}"/>
    <cellStyle name="Percent 17" xfId="18" xr:uid="{9C13713B-A77B-450E-AD27-65CBAFD56376}"/>
    <cellStyle name="Percent 2" xfId="5" xr:uid="{832D11BF-67D6-4668-B213-728A38DC2251}"/>
    <cellStyle name="Percent 2 2 2" xfId="7" xr:uid="{440AF2CE-86DB-4897-867E-BEC824EF2DDA}"/>
    <cellStyle name="Style 1" xfId="3" xr:uid="{F4609D05-B161-47A5-8040-F8D4BA086F06}"/>
    <cellStyle name="百分比 2" xfId="11" xr:uid="{AAB81BF9-3633-4687-B4BD-F84D6266D2E7}"/>
    <cellStyle name="百分比 2 2" xfId="13" xr:uid="{510E69BC-969E-4110-B6A3-38ABFE402DE4}"/>
    <cellStyle name="百分比 3" xfId="22" xr:uid="{E2A6E185-96C0-477A-833B-5D1903C1F029}"/>
    <cellStyle name="百分比 5" xfId="15" xr:uid="{98339099-D6B4-42D1-9825-9AE2D02233A3}"/>
    <cellStyle name="常规" xfId="0" builtinId="0"/>
    <cellStyle name="常规 18" xfId="12" xr:uid="{7DAF87A7-BE8C-417B-9DA3-0D819854FD57}"/>
    <cellStyle name="常规 2" xfId="10" xr:uid="{8DF9EF39-64F7-4980-96E0-392C65DFB381}"/>
    <cellStyle name="常规 23" xfId="26" xr:uid="{A6A1ECEF-3264-4786-9429-237C6BF291B3}"/>
    <cellStyle name="常规 3" xfId="23" xr:uid="{7778F53C-4199-4B84-B81E-7103E955B953}"/>
    <cellStyle name="货币" xfId="25" builtinId="4"/>
    <cellStyle name="货币 2" xfId="21" xr:uid="{99892267-8814-4D30-88F9-2F8EB401A3EE}"/>
    <cellStyle name="货币 3" xfId="24" xr:uid="{3665B81A-EA51-4979-9CB3-F1723676F0B6}"/>
    <cellStyle name="千位分隔 4" xfId="14" xr:uid="{663C9722-A668-45C1-8EEE-247E720C953A}"/>
    <cellStyle name="样式 1 2" xfId="2" xr:uid="{DC9B73B6-A1E9-48DB-83A0-64D6E1D16DDF}"/>
    <cellStyle name="样式 1 2 2" xfId="16" xr:uid="{861BB0F5-1714-495A-B216-B4A191370F44}"/>
    <cellStyle name="样式 1 5" xfId="9" xr:uid="{DDB5C0FA-A73B-4D02-BAA7-9CEB24CD27C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20.8\&#28041;&#22806;&#32452;\Users\rya00039\AppData\Local\Microsoft\Windows\Temporary%20Internet%20Files\Content.Outlook\SNCPC6UK\file:\192.168.20.8\&#23478;&#32442;&#20845;&#37096;\joyce\customer\CS\CS%20stock%20list(ET)-08103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Data"/>
      <sheetName val="Window"/>
      <sheetName val="Furniture Protector"/>
      <sheetName val="Shower Curtain"/>
      <sheetName val="Sheet Pillowcase"/>
      <sheetName val="Pillow"/>
      <sheetName val="Mattress"/>
      <sheetName val="Blanket Throw"/>
      <sheetName val="Bedding Set"/>
      <sheetName val="Bedding Accessories"/>
      <sheetName val="Bath Rug"/>
      <sheetName val="Bath Accessories"/>
    </sheetNames>
    <sheetDataSet>
      <sheetData sheetId="0" refreshError="1">
        <row r="2">
          <cell r="DS2" t="str">
            <v>KD</v>
          </cell>
          <cell r="DW2" t="str">
            <v>2 seater sofa</v>
          </cell>
          <cell r="EA2" t="str">
            <v xml:space="preserve">ANILINE DYE  </v>
          </cell>
          <cell r="EC2" t="str">
            <v>CA standard</v>
          </cell>
          <cell r="EE2" t="str">
            <v>Carton</v>
          </cell>
          <cell r="EF2" t="str">
            <v>S/1</v>
          </cell>
          <cell r="EG2" t="str">
            <v>Oak</v>
          </cell>
          <cell r="EH2" t="str">
            <v>BEIGE RAFFIA</v>
          </cell>
        </row>
        <row r="3">
          <cell r="DW3" t="str">
            <v>3 seater sofa</v>
          </cell>
          <cell r="EA3" t="str">
            <v>Bycast Buffalo</v>
          </cell>
          <cell r="EC3" t="str">
            <v>UK standard</v>
          </cell>
          <cell r="EE3" t="str">
            <v>Soft wrap</v>
          </cell>
          <cell r="EF3" t="str">
            <v>S/2</v>
          </cell>
          <cell r="EG3" t="str">
            <v>Ash</v>
          </cell>
          <cell r="EH3" t="str">
            <v>Black</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8F372-EFAA-41F8-9C80-45E8737C1F03}">
  <dimension ref="A1:BR13"/>
  <sheetViews>
    <sheetView tabSelected="1" topLeftCell="A2" zoomScaleNormal="100" workbookViewId="0">
      <selection activeCell="A14" sqref="A14:XFD54"/>
    </sheetView>
  </sheetViews>
  <sheetFormatPr defaultColWidth="9.140625" defaultRowHeight="15"/>
  <cols>
    <col min="1" max="1" width="10.140625" style="1" customWidth="1"/>
    <col min="2" max="2" width="10" style="2" customWidth="1"/>
    <col min="3" max="3" width="12.42578125" style="2" customWidth="1"/>
    <col min="4" max="4" width="12.85546875" style="2" customWidth="1"/>
    <col min="5" max="5" width="9.140625" style="2" customWidth="1"/>
    <col min="6" max="6" width="15.5703125" style="2" customWidth="1"/>
    <col min="7" max="7" width="9.140625" style="2" customWidth="1"/>
    <col min="8" max="8" width="19.42578125" style="2" customWidth="1"/>
    <col min="9" max="9" width="21" style="2" customWidth="1"/>
    <col min="10" max="10" width="11.140625" style="2" customWidth="1"/>
    <col min="11" max="11" width="12.42578125" style="2" customWidth="1"/>
    <col min="12" max="12" width="18" style="2" customWidth="1"/>
    <col min="13" max="13" width="11" style="2" customWidth="1"/>
    <col min="14" max="14" width="8.85546875" style="2" customWidth="1"/>
    <col min="15" max="15" width="17.85546875" style="2" customWidth="1"/>
    <col min="16" max="16" width="18.5703125" style="2" customWidth="1"/>
    <col min="17" max="17" width="8.85546875" style="5" customWidth="1"/>
    <col min="18" max="18" width="9.42578125" style="2" customWidth="1"/>
    <col min="19" max="19" width="11.7109375" style="34" customWidth="1"/>
    <col min="20" max="20" width="8.140625" style="36" customWidth="1"/>
    <col min="21" max="21" width="8.7109375" style="49" customWidth="1"/>
    <col min="22" max="22" width="8.7109375" style="33" customWidth="1"/>
    <col min="23" max="23" width="12.42578125" style="36" customWidth="1"/>
    <col min="24" max="24" width="9.85546875" style="36" customWidth="1"/>
    <col min="25" max="25" width="9" style="36" customWidth="1"/>
    <col min="26" max="26" width="6.28515625" style="34" customWidth="1"/>
    <col min="27" max="27" width="11.42578125" style="33" customWidth="1"/>
    <col min="28" max="28" width="9.85546875" style="34" customWidth="1"/>
    <col min="29" max="29" width="7.85546875" style="2" customWidth="1"/>
    <col min="30" max="30" width="9" style="36" customWidth="1"/>
    <col min="31" max="31" width="9" style="34" customWidth="1"/>
    <col min="32" max="32" width="9" style="33" customWidth="1"/>
    <col min="33" max="33" width="10" style="45" customWidth="1"/>
    <col min="34" max="34" width="9" style="5" customWidth="1"/>
    <col min="35" max="35" width="14.140625" style="2" customWidth="1"/>
    <col min="36" max="36" width="8.42578125" style="4" customWidth="1"/>
    <col min="37" max="37" width="10.7109375" style="5" customWidth="1"/>
    <col min="38" max="38" width="11.28515625" style="5" customWidth="1"/>
    <col min="39" max="39" width="11.5703125" style="5" customWidth="1"/>
    <col min="40" max="40" width="8.28515625" style="5" customWidth="1"/>
    <col min="41" max="41" width="11.5703125" style="4" customWidth="1"/>
    <col min="42" max="42" width="10.85546875" style="5" customWidth="1"/>
    <col min="43" max="43" width="8.140625" style="4" customWidth="1"/>
    <col min="44" max="44" width="9.140625" style="5" customWidth="1"/>
    <col min="45" max="45" width="8.140625" style="4" customWidth="1"/>
    <col min="46" max="46" width="9.28515625" style="5" customWidth="1"/>
    <col min="47" max="47" width="6.85546875" style="5" customWidth="1"/>
    <col min="48" max="48" width="9.140625" style="5" customWidth="1"/>
    <col min="49" max="49" width="7.42578125" style="5" customWidth="1"/>
    <col min="50" max="50" width="7.7109375" style="5" customWidth="1"/>
    <col min="51" max="51" width="11.42578125" style="5" customWidth="1"/>
    <col min="52" max="52" width="11.85546875" style="2" customWidth="1"/>
    <col min="53" max="53" width="11.28515625" style="39" customWidth="1"/>
    <col min="54" max="54" width="9.85546875" style="5" customWidth="1"/>
    <col min="55" max="55" width="15" style="4" customWidth="1"/>
    <col min="56" max="56" width="10.140625" style="5" customWidth="1"/>
    <col min="57" max="57" width="8.85546875" style="5" customWidth="1"/>
    <col min="58" max="58" width="10.85546875" style="5" customWidth="1"/>
    <col min="59" max="59" width="8.140625" style="4" customWidth="1"/>
    <col min="60" max="62" width="10.42578125" style="5" customWidth="1"/>
    <col min="63" max="63" width="12.42578125" style="2" customWidth="1"/>
    <col min="64" max="64" width="10.42578125" style="2" customWidth="1"/>
    <col min="65" max="65" width="9.5703125" style="2" customWidth="1"/>
    <col min="66" max="66" width="13.42578125" style="2" customWidth="1"/>
    <col min="67" max="67" width="13.42578125" style="4" customWidth="1"/>
    <col min="68" max="68" width="9.140625" style="2"/>
    <col min="69" max="69" width="10.28515625" style="2" bestFit="1" customWidth="1"/>
    <col min="70" max="70" width="12.85546875" style="2" customWidth="1"/>
    <col min="71" max="16384" width="9.140625" style="2"/>
  </cols>
  <sheetData>
    <row r="1" spans="1:70" ht="57.95" customHeight="1">
      <c r="A1" s="6" t="s">
        <v>6</v>
      </c>
      <c r="B1" s="6" t="s">
        <v>7</v>
      </c>
      <c r="C1" s="7" t="s">
        <v>8</v>
      </c>
      <c r="D1" s="8" t="s">
        <v>0</v>
      </c>
      <c r="E1" s="8" t="s">
        <v>2</v>
      </c>
      <c r="F1" s="9" t="s">
        <v>9</v>
      </c>
      <c r="G1" s="7" t="s">
        <v>10</v>
      </c>
      <c r="H1" s="10" t="s">
        <v>11</v>
      </c>
      <c r="I1" s="10" t="s">
        <v>12</v>
      </c>
      <c r="J1" s="10" t="s">
        <v>13</v>
      </c>
      <c r="K1" s="46" t="s">
        <v>44</v>
      </c>
      <c r="L1" s="10" t="s">
        <v>14</v>
      </c>
      <c r="M1" s="10" t="s">
        <v>15</v>
      </c>
      <c r="N1" s="7" t="s">
        <v>43</v>
      </c>
      <c r="O1" s="7" t="s">
        <v>16</v>
      </c>
      <c r="P1" s="7" t="s">
        <v>17</v>
      </c>
      <c r="Q1" s="7" t="s">
        <v>41</v>
      </c>
      <c r="R1" s="10" t="s">
        <v>18</v>
      </c>
      <c r="S1" s="13" t="s">
        <v>38</v>
      </c>
      <c r="T1" s="48" t="s">
        <v>40</v>
      </c>
      <c r="U1" s="66" t="s">
        <v>76</v>
      </c>
      <c r="V1" s="50" t="s">
        <v>46</v>
      </c>
      <c r="W1" s="67" t="s">
        <v>45</v>
      </c>
      <c r="X1" s="11" t="s">
        <v>1</v>
      </c>
      <c r="Y1" s="35" t="s">
        <v>19</v>
      </c>
      <c r="Z1" s="35" t="s">
        <v>20</v>
      </c>
      <c r="AA1" s="35" t="s">
        <v>21</v>
      </c>
      <c r="AB1" s="13" t="s">
        <v>22</v>
      </c>
      <c r="AC1" s="43" t="s">
        <v>23</v>
      </c>
      <c r="AD1" s="35" t="s">
        <v>47</v>
      </c>
      <c r="AE1" s="35" t="s">
        <v>48</v>
      </c>
      <c r="AF1" s="35" t="s">
        <v>49</v>
      </c>
      <c r="AG1" s="12" t="s">
        <v>50</v>
      </c>
      <c r="AH1" s="14" t="s">
        <v>24</v>
      </c>
      <c r="AI1" s="15" t="s">
        <v>25</v>
      </c>
      <c r="AJ1" s="6" t="s">
        <v>26</v>
      </c>
      <c r="AK1" s="16" t="s">
        <v>27</v>
      </c>
      <c r="AL1" s="6" t="s">
        <v>28</v>
      </c>
      <c r="AM1" s="17" t="s">
        <v>29</v>
      </c>
      <c r="AN1" s="18" t="s">
        <v>30</v>
      </c>
      <c r="AO1" s="16" t="s">
        <v>31</v>
      </c>
      <c r="AP1" s="17" t="s">
        <v>32</v>
      </c>
      <c r="AQ1" s="16" t="s">
        <v>33</v>
      </c>
      <c r="AR1" s="17" t="s">
        <v>34</v>
      </c>
      <c r="AS1" s="16" t="s">
        <v>35</v>
      </c>
      <c r="AT1" s="17" t="s">
        <v>55</v>
      </c>
      <c r="AU1" s="16" t="s">
        <v>54</v>
      </c>
      <c r="AV1" s="38" t="s">
        <v>51</v>
      </c>
      <c r="AW1" s="17" t="s">
        <v>52</v>
      </c>
      <c r="AX1" s="16" t="s">
        <v>53</v>
      </c>
      <c r="AY1" s="16" t="s">
        <v>36</v>
      </c>
      <c r="AZ1" s="40" t="s">
        <v>37</v>
      </c>
      <c r="BA1" s="19" t="s">
        <v>42</v>
      </c>
      <c r="BB1" s="71" t="s">
        <v>56</v>
      </c>
      <c r="BC1" s="53" t="s">
        <v>58</v>
      </c>
      <c r="BD1" s="16" t="s">
        <v>59</v>
      </c>
      <c r="BE1" s="55" t="s">
        <v>60</v>
      </c>
      <c r="BF1" s="40" t="s">
        <v>61</v>
      </c>
      <c r="BG1" s="19" t="s">
        <v>62</v>
      </c>
      <c r="BH1" s="58" t="s">
        <v>57</v>
      </c>
      <c r="BI1" s="72" t="s">
        <v>106</v>
      </c>
      <c r="BJ1" s="57"/>
      <c r="BK1" s="60" t="s">
        <v>63</v>
      </c>
      <c r="BL1" s="61" t="s">
        <v>65</v>
      </c>
      <c r="BM1" s="60" t="s">
        <v>64</v>
      </c>
      <c r="BN1" s="61" t="s">
        <v>67</v>
      </c>
      <c r="BO1" s="62" t="s">
        <v>66</v>
      </c>
    </row>
    <row r="2" spans="1:70" s="32" customFormat="1">
      <c r="A2" s="20">
        <v>1</v>
      </c>
      <c r="B2" s="21"/>
      <c r="C2" s="21"/>
      <c r="D2" s="21" t="s">
        <v>4</v>
      </c>
      <c r="E2" s="21"/>
      <c r="F2" s="21" t="s">
        <v>39</v>
      </c>
      <c r="G2" s="22" t="s">
        <v>79</v>
      </c>
      <c r="H2" s="21" t="s">
        <v>77</v>
      </c>
      <c r="I2" s="21" t="s">
        <v>68</v>
      </c>
      <c r="J2" s="20" t="s">
        <v>78</v>
      </c>
      <c r="K2" s="42" t="s">
        <v>74</v>
      </c>
      <c r="L2" s="21" t="s">
        <v>69</v>
      </c>
      <c r="M2" s="21" t="s">
        <v>75</v>
      </c>
      <c r="N2" s="42"/>
      <c r="O2" s="70" t="s">
        <v>104</v>
      </c>
      <c r="P2" s="69" t="s">
        <v>82</v>
      </c>
      <c r="Q2" s="21"/>
      <c r="R2" s="21" t="s">
        <v>5</v>
      </c>
      <c r="S2" s="23">
        <v>100</v>
      </c>
      <c r="T2" s="37">
        <v>29.21</v>
      </c>
      <c r="U2" s="68">
        <f>IF(V2="","",W2*V2)</f>
        <v>236.6</v>
      </c>
      <c r="V2" s="51">
        <v>8.1</v>
      </c>
      <c r="W2" s="37">
        <v>29.21</v>
      </c>
      <c r="X2" s="21" t="s">
        <v>3</v>
      </c>
      <c r="Y2" s="63">
        <v>39</v>
      </c>
      <c r="Z2" s="63">
        <v>34</v>
      </c>
      <c r="AA2" s="63">
        <v>48</v>
      </c>
      <c r="AB2" s="63">
        <v>4</v>
      </c>
      <c r="AC2" s="44">
        <f t="shared" ref="AC2" si="0">IF(Y2="","",Y2*Z2*AA2/1000000)</f>
        <v>6.4000000000000001E-2</v>
      </c>
      <c r="AD2" s="64">
        <v>13</v>
      </c>
      <c r="AE2" s="64">
        <v>11</v>
      </c>
      <c r="AF2" s="64">
        <v>4</v>
      </c>
      <c r="AG2" s="24">
        <v>5.45</v>
      </c>
      <c r="AH2" s="24">
        <v>65</v>
      </c>
      <c r="AI2" s="25">
        <f t="shared" ref="AI2" si="1">IF(AB2="","",AH2/AC2*AB2)</f>
        <v>4063</v>
      </c>
      <c r="AJ2" s="26">
        <v>4050</v>
      </c>
      <c r="AK2" s="27">
        <f t="shared" ref="AK2:AK10" si="2">IF(ISERROR(AJ2/AI2),"",AJ2/AI2)</f>
        <v>1</v>
      </c>
      <c r="AL2" s="21" t="s">
        <v>70</v>
      </c>
      <c r="AM2" s="28">
        <f t="shared" ref="AM2:AM13" si="3">6.7%+25%+25%</f>
        <v>0.56699999999999995</v>
      </c>
      <c r="AN2" s="27">
        <f t="shared" ref="AN2:AN10" si="4">IF(ISERROR(W2*AM2),"",W2*AM2)</f>
        <v>16.559999999999999</v>
      </c>
      <c r="AO2" s="27">
        <f t="shared" ref="AO2:AO10" si="5">IF(ISERROR(W2+AK2+AN2),"",W2+AK2+AN2)</f>
        <v>46.77</v>
      </c>
      <c r="AP2" s="29">
        <v>0.1</v>
      </c>
      <c r="AQ2" s="27">
        <f t="shared" ref="AQ2:AQ10" si="6">IF(ISERROR(BB2*AP2),"",BB2*AP2)</f>
        <v>11</v>
      </c>
      <c r="AR2" s="29">
        <v>0.15</v>
      </c>
      <c r="AS2" s="27">
        <f t="shared" ref="AS2:AS10" si="7">IF(ISERROR(BB2*AR2),"",BB2*AR2)</f>
        <v>16.5</v>
      </c>
      <c r="AT2" s="29">
        <v>0.1</v>
      </c>
      <c r="AU2" s="27">
        <f t="shared" ref="AU2:AU10" si="8">IF(ISERROR(BB2*AT2),"",BB2*AT2)</f>
        <v>11</v>
      </c>
      <c r="AV2" s="31"/>
      <c r="AW2" s="29">
        <v>0</v>
      </c>
      <c r="AX2" s="27">
        <f t="shared" ref="AX2:AX10" si="9">IF(ISERROR(BB2*AW2),"",BB2*AW2)</f>
        <v>0</v>
      </c>
      <c r="AY2" s="27">
        <f t="shared" ref="AY2:AY10" si="10">IF(ISERROR(AQ2+AS2+AU2+AX2),"",AQ2+AS2+AU2+AX2)</f>
        <v>38.5</v>
      </c>
      <c r="AZ2" s="27">
        <f t="shared" ref="AZ2" si="11">IF(ISERROR(AO2+AY2),"",AO2+AY2)</f>
        <v>85.27</v>
      </c>
      <c r="BA2" s="30">
        <f t="shared" ref="BA2" si="12">IF(ISERROR((BB2-AZ2)/BB2),"",(BB2-AZ2)/BB2)</f>
        <v>0.22470000000000001</v>
      </c>
      <c r="BB2" s="27">
        <f>IF(BH2="","",BH2*(1-BI2))</f>
        <v>109.99</v>
      </c>
      <c r="BC2" s="54">
        <v>0.3</v>
      </c>
      <c r="BD2" s="27">
        <f t="shared" ref="BD2:BD10" si="13">IF(BC2="","",BH2*BC2)</f>
        <v>60</v>
      </c>
      <c r="BE2" s="47">
        <v>15</v>
      </c>
      <c r="BF2" s="27">
        <f t="shared" ref="BF2:BF10" si="14">IF(ISERROR(AZ2+BD2+BE2),"",AZ2+BD2+BE2)</f>
        <v>160.27000000000001</v>
      </c>
      <c r="BG2" s="56">
        <f t="shared" ref="BG2:BG10" si="15">IF(BH2="","",(BH2-BF2)/BH2)</f>
        <v>0.1986</v>
      </c>
      <c r="BH2" s="47">
        <v>199.99</v>
      </c>
      <c r="BI2" s="54">
        <v>0.45</v>
      </c>
      <c r="BJ2" s="3"/>
      <c r="BK2" s="52">
        <f>BB2</f>
        <v>109.99</v>
      </c>
      <c r="BL2" s="59">
        <f>IF(BM2="","",CEILING(BM2/0.9 - 0.01, 10) - 0.01)</f>
        <v>229.99</v>
      </c>
      <c r="BM2" s="52">
        <f>IF(BH2="","",BH2)</f>
        <v>199.99</v>
      </c>
      <c r="BN2" s="56">
        <f>IF(BK2="","",(BK2-AO2)/BK2)</f>
        <v>0.57479999999999998</v>
      </c>
      <c r="BO2" s="56">
        <f>IF(BL2="","",(BL2-BK2)/BL2)</f>
        <v>0.52180000000000004</v>
      </c>
      <c r="BQ2" s="65">
        <f>S2*W2</f>
        <v>2921</v>
      </c>
      <c r="BR2" s="65">
        <f>BB2*S2</f>
        <v>10999</v>
      </c>
    </row>
    <row r="3" spans="1:70" s="32" customFormat="1">
      <c r="A3" s="20">
        <v>2</v>
      </c>
      <c r="B3" s="21"/>
      <c r="C3" s="21"/>
      <c r="D3" s="21" t="s">
        <v>4</v>
      </c>
      <c r="E3" s="21"/>
      <c r="F3" s="21" t="s">
        <v>39</v>
      </c>
      <c r="G3" s="22" t="s">
        <v>79</v>
      </c>
      <c r="H3" s="21" t="s">
        <v>77</v>
      </c>
      <c r="I3" s="21" t="s">
        <v>68</v>
      </c>
      <c r="J3" s="20" t="s">
        <v>78</v>
      </c>
      <c r="K3" s="42" t="s">
        <v>74</v>
      </c>
      <c r="L3" s="21" t="s">
        <v>71</v>
      </c>
      <c r="M3" s="21" t="s">
        <v>75</v>
      </c>
      <c r="N3" s="42"/>
      <c r="O3" s="69" t="s">
        <v>83</v>
      </c>
      <c r="P3" s="69" t="s">
        <v>84</v>
      </c>
      <c r="Q3" s="21"/>
      <c r="R3" s="21" t="s">
        <v>5</v>
      </c>
      <c r="S3" s="23">
        <v>100</v>
      </c>
      <c r="T3" s="37">
        <v>34.01</v>
      </c>
      <c r="U3" s="68">
        <f>IF(V3="","",W3*V3)</f>
        <v>275.48</v>
      </c>
      <c r="V3" s="51">
        <v>8.1</v>
      </c>
      <c r="W3" s="37">
        <v>34.01</v>
      </c>
      <c r="X3" s="21" t="s">
        <v>3</v>
      </c>
      <c r="Y3" s="63">
        <v>39</v>
      </c>
      <c r="Z3" s="63">
        <v>34</v>
      </c>
      <c r="AA3" s="63">
        <v>46</v>
      </c>
      <c r="AB3" s="63">
        <v>3</v>
      </c>
      <c r="AC3" s="44">
        <f t="shared" ref="AC3:AC5" si="16">IF(Y3="","",Y3*Z3*AA3/1000000)</f>
        <v>6.0999999999999999E-2</v>
      </c>
      <c r="AD3" s="64">
        <v>13</v>
      </c>
      <c r="AE3" s="64">
        <v>11</v>
      </c>
      <c r="AF3" s="64">
        <v>5</v>
      </c>
      <c r="AG3" s="24">
        <v>6.5</v>
      </c>
      <c r="AH3" s="24">
        <v>65</v>
      </c>
      <c r="AI3" s="25">
        <f t="shared" ref="AI3:AI5" si="17">IF(AB3="","",AH3/AC3*AB3)</f>
        <v>3197</v>
      </c>
      <c r="AJ3" s="26">
        <v>4050</v>
      </c>
      <c r="AK3" s="27">
        <f t="shared" si="2"/>
        <v>1.27</v>
      </c>
      <c r="AL3" s="21" t="s">
        <v>70</v>
      </c>
      <c r="AM3" s="28">
        <f t="shared" si="3"/>
        <v>0.56699999999999995</v>
      </c>
      <c r="AN3" s="27">
        <f t="shared" si="4"/>
        <v>19.28</v>
      </c>
      <c r="AO3" s="27">
        <f t="shared" si="5"/>
        <v>54.56</v>
      </c>
      <c r="AP3" s="29">
        <v>0.1</v>
      </c>
      <c r="AQ3" s="27">
        <f t="shared" si="6"/>
        <v>12.65</v>
      </c>
      <c r="AR3" s="29">
        <v>0.15</v>
      </c>
      <c r="AS3" s="27">
        <f t="shared" si="7"/>
        <v>18.97</v>
      </c>
      <c r="AT3" s="29">
        <v>0.1</v>
      </c>
      <c r="AU3" s="27">
        <f t="shared" si="8"/>
        <v>12.65</v>
      </c>
      <c r="AV3" s="31"/>
      <c r="AW3" s="29">
        <v>0</v>
      </c>
      <c r="AX3" s="27">
        <f t="shared" si="9"/>
        <v>0</v>
      </c>
      <c r="AY3" s="27">
        <f t="shared" si="10"/>
        <v>44.27</v>
      </c>
      <c r="AZ3" s="27">
        <f t="shared" ref="AZ3:AZ5" si="18">IF(ISERROR(AO3+AY3),"",AO3+AY3)</f>
        <v>98.83</v>
      </c>
      <c r="BA3" s="30">
        <f t="shared" ref="BA3:BA5" si="19">IF(ISERROR((BB3-AZ3)/BB3),"",(BB3-AZ3)/BB3)</f>
        <v>0.21870000000000001</v>
      </c>
      <c r="BB3" s="27">
        <f t="shared" ref="BB3:BB13" si="20">IF(BH3="","",BH3*(1-BI3))</f>
        <v>126.49</v>
      </c>
      <c r="BC3" s="54">
        <v>0.3</v>
      </c>
      <c r="BD3" s="27">
        <f t="shared" si="13"/>
        <v>69</v>
      </c>
      <c r="BE3" s="47">
        <v>15</v>
      </c>
      <c r="BF3" s="27">
        <f t="shared" si="14"/>
        <v>182.83</v>
      </c>
      <c r="BG3" s="56">
        <f t="shared" si="15"/>
        <v>0.2051</v>
      </c>
      <c r="BH3" s="47">
        <v>229.99</v>
      </c>
      <c r="BI3" s="54">
        <v>0.45</v>
      </c>
      <c r="BJ3" s="3"/>
      <c r="BK3" s="52">
        <f t="shared" ref="BK3:BK13" si="21">BB3</f>
        <v>126.49</v>
      </c>
      <c r="BL3" s="59">
        <f t="shared" ref="BL3:BL13" si="22">IF(BM3="","",CEILING(BM3/0.9 - 0.01, 10) - 0.01)</f>
        <v>259.99</v>
      </c>
      <c r="BM3" s="52">
        <f t="shared" ref="BM3:BM13" si="23">IF(BH3="","",BH3)</f>
        <v>229.99</v>
      </c>
      <c r="BN3" s="56">
        <f t="shared" ref="BN3:BN13" si="24">IF(BK3="","",(BK3-AO3)/BK3)</f>
        <v>0.56869999999999998</v>
      </c>
      <c r="BO3" s="56">
        <f t="shared" ref="BO3:BO13" si="25">IF(BL3="","",(BL3-BK3)/BL3)</f>
        <v>0.51349999999999996</v>
      </c>
      <c r="BQ3" s="65">
        <f t="shared" ref="BQ3:BQ13" si="26">S3*W3</f>
        <v>3401</v>
      </c>
      <c r="BR3" s="65">
        <f t="shared" ref="BR3:BR13" si="27">BB3*S3</f>
        <v>12649</v>
      </c>
    </row>
    <row r="4" spans="1:70" s="32" customFormat="1">
      <c r="A4" s="20">
        <v>3</v>
      </c>
      <c r="B4" s="21"/>
      <c r="C4" s="21"/>
      <c r="D4" s="21" t="s">
        <v>4</v>
      </c>
      <c r="E4" s="21"/>
      <c r="F4" s="21" t="s">
        <v>39</v>
      </c>
      <c r="G4" s="22" t="s">
        <v>79</v>
      </c>
      <c r="H4" s="21" t="s">
        <v>77</v>
      </c>
      <c r="I4" s="21" t="s">
        <v>68</v>
      </c>
      <c r="J4" s="20" t="s">
        <v>78</v>
      </c>
      <c r="K4" s="42" t="s">
        <v>74</v>
      </c>
      <c r="L4" s="21" t="s">
        <v>72</v>
      </c>
      <c r="M4" s="21" t="s">
        <v>75</v>
      </c>
      <c r="N4" s="42"/>
      <c r="O4" s="69" t="s">
        <v>85</v>
      </c>
      <c r="P4" s="69" t="s">
        <v>86</v>
      </c>
      <c r="Q4" s="21"/>
      <c r="R4" s="21" t="s">
        <v>5</v>
      </c>
      <c r="S4" s="23">
        <v>100</v>
      </c>
      <c r="T4" s="37">
        <v>34.909999999999997</v>
      </c>
      <c r="U4" s="68">
        <f>IF(V4="","",W4*V4)</f>
        <v>282.77</v>
      </c>
      <c r="V4" s="51">
        <v>8.1</v>
      </c>
      <c r="W4" s="37">
        <v>34.909999999999997</v>
      </c>
      <c r="X4" s="21" t="s">
        <v>3</v>
      </c>
      <c r="Y4" s="63">
        <v>39</v>
      </c>
      <c r="Z4" s="63">
        <v>34</v>
      </c>
      <c r="AA4" s="63">
        <v>46</v>
      </c>
      <c r="AB4" s="63">
        <v>3</v>
      </c>
      <c r="AC4" s="44">
        <f t="shared" si="16"/>
        <v>6.0999999999999999E-2</v>
      </c>
      <c r="AD4" s="64">
        <v>13</v>
      </c>
      <c r="AE4" s="64">
        <v>11</v>
      </c>
      <c r="AF4" s="64">
        <v>5</v>
      </c>
      <c r="AG4" s="24">
        <v>6.7</v>
      </c>
      <c r="AH4" s="24">
        <v>65</v>
      </c>
      <c r="AI4" s="25">
        <f t="shared" si="17"/>
        <v>3197</v>
      </c>
      <c r="AJ4" s="26">
        <v>4050</v>
      </c>
      <c r="AK4" s="27">
        <f t="shared" si="2"/>
        <v>1.27</v>
      </c>
      <c r="AL4" s="21" t="s">
        <v>70</v>
      </c>
      <c r="AM4" s="28">
        <f t="shared" si="3"/>
        <v>0.56699999999999995</v>
      </c>
      <c r="AN4" s="27">
        <f t="shared" si="4"/>
        <v>19.79</v>
      </c>
      <c r="AO4" s="27">
        <f t="shared" si="5"/>
        <v>55.97</v>
      </c>
      <c r="AP4" s="29">
        <v>0.1</v>
      </c>
      <c r="AQ4" s="27">
        <f t="shared" si="6"/>
        <v>13.2</v>
      </c>
      <c r="AR4" s="29">
        <v>0.15</v>
      </c>
      <c r="AS4" s="27">
        <f t="shared" si="7"/>
        <v>19.8</v>
      </c>
      <c r="AT4" s="29">
        <v>0.1</v>
      </c>
      <c r="AU4" s="27">
        <f t="shared" si="8"/>
        <v>13.2</v>
      </c>
      <c r="AV4" s="31"/>
      <c r="AW4" s="29">
        <v>0</v>
      </c>
      <c r="AX4" s="27">
        <f t="shared" si="9"/>
        <v>0</v>
      </c>
      <c r="AY4" s="27">
        <f t="shared" si="10"/>
        <v>46.2</v>
      </c>
      <c r="AZ4" s="27">
        <f t="shared" si="18"/>
        <v>102.17</v>
      </c>
      <c r="BA4" s="30">
        <f t="shared" si="19"/>
        <v>0.22589999999999999</v>
      </c>
      <c r="BB4" s="27">
        <f t="shared" si="20"/>
        <v>131.99</v>
      </c>
      <c r="BC4" s="54">
        <v>0.3</v>
      </c>
      <c r="BD4" s="27">
        <f t="shared" si="13"/>
        <v>72</v>
      </c>
      <c r="BE4" s="47">
        <v>15</v>
      </c>
      <c r="BF4" s="27">
        <f t="shared" si="14"/>
        <v>189.17</v>
      </c>
      <c r="BG4" s="56">
        <f t="shared" si="15"/>
        <v>0.21179999999999999</v>
      </c>
      <c r="BH4" s="47">
        <v>239.99</v>
      </c>
      <c r="BI4" s="54">
        <v>0.45</v>
      </c>
      <c r="BJ4" s="3"/>
      <c r="BK4" s="52">
        <f t="shared" si="21"/>
        <v>131.99</v>
      </c>
      <c r="BL4" s="59">
        <f t="shared" si="22"/>
        <v>269.99</v>
      </c>
      <c r="BM4" s="52">
        <f t="shared" si="23"/>
        <v>239.99</v>
      </c>
      <c r="BN4" s="56">
        <f t="shared" si="24"/>
        <v>0.57599999999999996</v>
      </c>
      <c r="BO4" s="56">
        <f t="shared" si="25"/>
        <v>0.5111</v>
      </c>
      <c r="BQ4" s="65">
        <f t="shared" si="26"/>
        <v>3491</v>
      </c>
      <c r="BR4" s="65">
        <f t="shared" si="27"/>
        <v>13199</v>
      </c>
    </row>
    <row r="5" spans="1:70" s="32" customFormat="1">
      <c r="A5" s="20">
        <v>4</v>
      </c>
      <c r="B5" s="21"/>
      <c r="C5" s="21"/>
      <c r="D5" s="21" t="s">
        <v>4</v>
      </c>
      <c r="E5" s="21"/>
      <c r="F5" s="21" t="s">
        <v>39</v>
      </c>
      <c r="G5" s="22" t="s">
        <v>79</v>
      </c>
      <c r="H5" s="21" t="s">
        <v>77</v>
      </c>
      <c r="I5" s="21" t="s">
        <v>68</v>
      </c>
      <c r="J5" s="20" t="s">
        <v>78</v>
      </c>
      <c r="K5" s="42" t="s">
        <v>74</v>
      </c>
      <c r="L5" s="21" t="s">
        <v>69</v>
      </c>
      <c r="M5" s="21" t="s">
        <v>73</v>
      </c>
      <c r="N5" s="42"/>
      <c r="O5" s="69" t="s">
        <v>87</v>
      </c>
      <c r="P5" s="69" t="s">
        <v>88</v>
      </c>
      <c r="Q5" s="21"/>
      <c r="R5" s="21" t="s">
        <v>5</v>
      </c>
      <c r="S5" s="23">
        <v>100</v>
      </c>
      <c r="T5" s="37">
        <v>29.21</v>
      </c>
      <c r="U5" s="68">
        <f>IF(V5="","",W5*V5)</f>
        <v>236.6</v>
      </c>
      <c r="V5" s="51">
        <v>8.1</v>
      </c>
      <c r="W5" s="37">
        <v>29.21</v>
      </c>
      <c r="X5" s="21" t="s">
        <v>3</v>
      </c>
      <c r="Y5" s="63">
        <v>39</v>
      </c>
      <c r="Z5" s="63">
        <v>34</v>
      </c>
      <c r="AA5" s="63">
        <v>48</v>
      </c>
      <c r="AB5" s="63">
        <v>4</v>
      </c>
      <c r="AC5" s="44">
        <f t="shared" si="16"/>
        <v>6.4000000000000001E-2</v>
      </c>
      <c r="AD5" s="64">
        <v>13</v>
      </c>
      <c r="AE5" s="64">
        <v>11</v>
      </c>
      <c r="AF5" s="64">
        <v>4</v>
      </c>
      <c r="AG5" s="24">
        <v>5.45</v>
      </c>
      <c r="AH5" s="24">
        <v>65</v>
      </c>
      <c r="AI5" s="25">
        <f t="shared" si="17"/>
        <v>4063</v>
      </c>
      <c r="AJ5" s="26">
        <v>4050</v>
      </c>
      <c r="AK5" s="27">
        <f t="shared" si="2"/>
        <v>1</v>
      </c>
      <c r="AL5" s="21" t="s">
        <v>70</v>
      </c>
      <c r="AM5" s="28">
        <f t="shared" si="3"/>
        <v>0.56699999999999995</v>
      </c>
      <c r="AN5" s="27">
        <f t="shared" si="4"/>
        <v>16.559999999999999</v>
      </c>
      <c r="AO5" s="27">
        <f t="shared" si="5"/>
        <v>46.77</v>
      </c>
      <c r="AP5" s="29">
        <v>0.1</v>
      </c>
      <c r="AQ5" s="27">
        <f t="shared" si="6"/>
        <v>11</v>
      </c>
      <c r="AR5" s="29">
        <v>0.15</v>
      </c>
      <c r="AS5" s="27">
        <f t="shared" si="7"/>
        <v>16.5</v>
      </c>
      <c r="AT5" s="29">
        <v>0.1</v>
      </c>
      <c r="AU5" s="27">
        <f t="shared" si="8"/>
        <v>11</v>
      </c>
      <c r="AV5" s="31"/>
      <c r="AW5" s="29">
        <v>0</v>
      </c>
      <c r="AX5" s="27">
        <f t="shared" si="9"/>
        <v>0</v>
      </c>
      <c r="AY5" s="27">
        <f t="shared" si="10"/>
        <v>38.5</v>
      </c>
      <c r="AZ5" s="27">
        <f t="shared" si="18"/>
        <v>85.27</v>
      </c>
      <c r="BA5" s="30">
        <f t="shared" si="19"/>
        <v>0.22470000000000001</v>
      </c>
      <c r="BB5" s="27">
        <f t="shared" si="20"/>
        <v>109.99</v>
      </c>
      <c r="BC5" s="54">
        <v>0.3</v>
      </c>
      <c r="BD5" s="27">
        <f t="shared" si="13"/>
        <v>60</v>
      </c>
      <c r="BE5" s="47">
        <v>15</v>
      </c>
      <c r="BF5" s="27">
        <f t="shared" si="14"/>
        <v>160.27000000000001</v>
      </c>
      <c r="BG5" s="56">
        <f t="shared" si="15"/>
        <v>0.1986</v>
      </c>
      <c r="BH5" s="47">
        <v>199.99</v>
      </c>
      <c r="BI5" s="54">
        <v>0.45</v>
      </c>
      <c r="BJ5" s="3"/>
      <c r="BK5" s="52">
        <f t="shared" si="21"/>
        <v>109.99</v>
      </c>
      <c r="BL5" s="59">
        <f t="shared" si="22"/>
        <v>229.99</v>
      </c>
      <c r="BM5" s="52">
        <f t="shared" si="23"/>
        <v>199.99</v>
      </c>
      <c r="BN5" s="56">
        <f t="shared" si="24"/>
        <v>0.57479999999999998</v>
      </c>
      <c r="BO5" s="56">
        <f t="shared" si="25"/>
        <v>0.52180000000000004</v>
      </c>
      <c r="BQ5" s="65">
        <f t="shared" si="26"/>
        <v>2921</v>
      </c>
      <c r="BR5" s="65">
        <f t="shared" si="27"/>
        <v>10999</v>
      </c>
    </row>
    <row r="6" spans="1:70" s="32" customFormat="1">
      <c r="A6" s="20">
        <v>5</v>
      </c>
      <c r="B6" s="21"/>
      <c r="C6" s="21"/>
      <c r="D6" s="21" t="s">
        <v>4</v>
      </c>
      <c r="E6" s="21"/>
      <c r="F6" s="21" t="s">
        <v>39</v>
      </c>
      <c r="G6" s="22" t="s">
        <v>79</v>
      </c>
      <c r="H6" s="21" t="s">
        <v>77</v>
      </c>
      <c r="I6" s="21" t="s">
        <v>68</v>
      </c>
      <c r="J6" s="20" t="s">
        <v>78</v>
      </c>
      <c r="K6" s="42" t="s">
        <v>74</v>
      </c>
      <c r="L6" s="21" t="s">
        <v>71</v>
      </c>
      <c r="M6" s="21" t="s">
        <v>73</v>
      </c>
      <c r="N6" s="42"/>
      <c r="O6" s="69" t="s">
        <v>89</v>
      </c>
      <c r="P6" s="69" t="s">
        <v>90</v>
      </c>
      <c r="Q6" s="21"/>
      <c r="R6" s="21" t="s">
        <v>5</v>
      </c>
      <c r="S6" s="23">
        <v>100</v>
      </c>
      <c r="T6" s="37">
        <v>34.01</v>
      </c>
      <c r="U6" s="68">
        <f t="shared" ref="U6:U10" si="28">IF(V6="","",W6*V6)</f>
        <v>275.48</v>
      </c>
      <c r="V6" s="51">
        <v>8.1</v>
      </c>
      <c r="W6" s="37">
        <v>34.01</v>
      </c>
      <c r="X6" s="21" t="s">
        <v>3</v>
      </c>
      <c r="Y6" s="63">
        <v>39</v>
      </c>
      <c r="Z6" s="63">
        <v>34</v>
      </c>
      <c r="AA6" s="63">
        <v>46</v>
      </c>
      <c r="AB6" s="63">
        <v>3</v>
      </c>
      <c r="AC6" s="44">
        <f t="shared" ref="AC6:AC8" si="29">IF(Y6="","",Y6*Z6*AA6/1000000)</f>
        <v>6.0999999999999999E-2</v>
      </c>
      <c r="AD6" s="64">
        <v>13</v>
      </c>
      <c r="AE6" s="64">
        <v>11</v>
      </c>
      <c r="AF6" s="64">
        <v>5</v>
      </c>
      <c r="AG6" s="24">
        <v>6.5</v>
      </c>
      <c r="AH6" s="24">
        <v>65</v>
      </c>
      <c r="AI6" s="25">
        <f t="shared" ref="AI6:AI8" si="30">IF(AB6="","",AH6/AC6*AB6)</f>
        <v>3197</v>
      </c>
      <c r="AJ6" s="26">
        <v>4050</v>
      </c>
      <c r="AK6" s="27">
        <f t="shared" si="2"/>
        <v>1.27</v>
      </c>
      <c r="AL6" s="21" t="s">
        <v>70</v>
      </c>
      <c r="AM6" s="28">
        <f t="shared" si="3"/>
        <v>0.56699999999999995</v>
      </c>
      <c r="AN6" s="27">
        <f t="shared" si="4"/>
        <v>19.28</v>
      </c>
      <c r="AO6" s="27">
        <f t="shared" si="5"/>
        <v>54.56</v>
      </c>
      <c r="AP6" s="29">
        <v>0.1</v>
      </c>
      <c r="AQ6" s="27">
        <f t="shared" si="6"/>
        <v>12.65</v>
      </c>
      <c r="AR6" s="29">
        <v>0.15</v>
      </c>
      <c r="AS6" s="27">
        <f t="shared" si="7"/>
        <v>18.97</v>
      </c>
      <c r="AT6" s="29">
        <v>0.1</v>
      </c>
      <c r="AU6" s="27">
        <f t="shared" si="8"/>
        <v>12.65</v>
      </c>
      <c r="AV6" s="31"/>
      <c r="AW6" s="29">
        <v>0</v>
      </c>
      <c r="AX6" s="27">
        <f t="shared" si="9"/>
        <v>0</v>
      </c>
      <c r="AY6" s="27">
        <f t="shared" si="10"/>
        <v>44.27</v>
      </c>
      <c r="AZ6" s="27">
        <f t="shared" ref="AZ6:AZ8" si="31">IF(ISERROR(AO6+AY6),"",AO6+AY6)</f>
        <v>98.83</v>
      </c>
      <c r="BA6" s="30">
        <f t="shared" ref="BA6:BA8" si="32">IF(ISERROR((BB6-AZ6)/BB6),"",(BB6-AZ6)/BB6)</f>
        <v>0.21870000000000001</v>
      </c>
      <c r="BB6" s="27">
        <f t="shared" si="20"/>
        <v>126.49</v>
      </c>
      <c r="BC6" s="54">
        <v>0.3</v>
      </c>
      <c r="BD6" s="27">
        <f t="shared" si="13"/>
        <v>69</v>
      </c>
      <c r="BE6" s="47">
        <v>15</v>
      </c>
      <c r="BF6" s="27">
        <f t="shared" si="14"/>
        <v>182.83</v>
      </c>
      <c r="BG6" s="56">
        <f t="shared" si="15"/>
        <v>0.2051</v>
      </c>
      <c r="BH6" s="47">
        <v>229.99</v>
      </c>
      <c r="BI6" s="54">
        <v>0.45</v>
      </c>
      <c r="BJ6" s="3"/>
      <c r="BK6" s="52">
        <f t="shared" si="21"/>
        <v>126.49</v>
      </c>
      <c r="BL6" s="59">
        <f t="shared" si="22"/>
        <v>259.99</v>
      </c>
      <c r="BM6" s="52">
        <f t="shared" si="23"/>
        <v>229.99</v>
      </c>
      <c r="BN6" s="56">
        <f t="shared" si="24"/>
        <v>0.56869999999999998</v>
      </c>
      <c r="BO6" s="56">
        <f t="shared" si="25"/>
        <v>0.51349999999999996</v>
      </c>
      <c r="BQ6" s="65">
        <f t="shared" si="26"/>
        <v>3401</v>
      </c>
      <c r="BR6" s="65">
        <f t="shared" si="27"/>
        <v>12649</v>
      </c>
    </row>
    <row r="7" spans="1:70" s="32" customFormat="1">
      <c r="A7" s="20">
        <v>6</v>
      </c>
      <c r="B7" s="21"/>
      <c r="C7" s="21"/>
      <c r="D7" s="21" t="s">
        <v>4</v>
      </c>
      <c r="E7" s="21"/>
      <c r="F7" s="21" t="s">
        <v>39</v>
      </c>
      <c r="G7" s="22" t="s">
        <v>79</v>
      </c>
      <c r="H7" s="21" t="s">
        <v>77</v>
      </c>
      <c r="I7" s="21" t="s">
        <v>68</v>
      </c>
      <c r="J7" s="20" t="s">
        <v>78</v>
      </c>
      <c r="K7" s="42" t="s">
        <v>74</v>
      </c>
      <c r="L7" s="21" t="s">
        <v>72</v>
      </c>
      <c r="M7" s="21" t="s">
        <v>73</v>
      </c>
      <c r="N7" s="42"/>
      <c r="O7" s="69" t="s">
        <v>91</v>
      </c>
      <c r="P7" s="69" t="s">
        <v>92</v>
      </c>
      <c r="Q7" s="21"/>
      <c r="R7" s="21" t="s">
        <v>5</v>
      </c>
      <c r="S7" s="23">
        <v>100</v>
      </c>
      <c r="T7" s="37">
        <v>34.909999999999997</v>
      </c>
      <c r="U7" s="68">
        <f t="shared" si="28"/>
        <v>282.77</v>
      </c>
      <c r="V7" s="51">
        <v>8.1</v>
      </c>
      <c r="W7" s="37">
        <v>34.909999999999997</v>
      </c>
      <c r="X7" s="21" t="s">
        <v>3</v>
      </c>
      <c r="Y7" s="63">
        <v>39</v>
      </c>
      <c r="Z7" s="63">
        <v>34</v>
      </c>
      <c r="AA7" s="63">
        <v>46</v>
      </c>
      <c r="AB7" s="63">
        <v>3</v>
      </c>
      <c r="AC7" s="44">
        <f t="shared" si="29"/>
        <v>6.0999999999999999E-2</v>
      </c>
      <c r="AD7" s="64">
        <v>13</v>
      </c>
      <c r="AE7" s="64">
        <v>11</v>
      </c>
      <c r="AF7" s="64">
        <v>5</v>
      </c>
      <c r="AG7" s="24">
        <v>6.7</v>
      </c>
      <c r="AH7" s="24">
        <v>65</v>
      </c>
      <c r="AI7" s="25">
        <f t="shared" si="30"/>
        <v>3197</v>
      </c>
      <c r="AJ7" s="26">
        <v>4050</v>
      </c>
      <c r="AK7" s="27">
        <f t="shared" si="2"/>
        <v>1.27</v>
      </c>
      <c r="AL7" s="21" t="s">
        <v>70</v>
      </c>
      <c r="AM7" s="28">
        <f t="shared" si="3"/>
        <v>0.56699999999999995</v>
      </c>
      <c r="AN7" s="27">
        <f t="shared" si="4"/>
        <v>19.79</v>
      </c>
      <c r="AO7" s="27">
        <f t="shared" si="5"/>
        <v>55.97</v>
      </c>
      <c r="AP7" s="29">
        <v>0.1</v>
      </c>
      <c r="AQ7" s="27">
        <f t="shared" si="6"/>
        <v>13.2</v>
      </c>
      <c r="AR7" s="29">
        <v>0.15</v>
      </c>
      <c r="AS7" s="27">
        <f t="shared" si="7"/>
        <v>19.8</v>
      </c>
      <c r="AT7" s="29">
        <v>0.1</v>
      </c>
      <c r="AU7" s="27">
        <f t="shared" si="8"/>
        <v>13.2</v>
      </c>
      <c r="AV7" s="31"/>
      <c r="AW7" s="29">
        <v>0</v>
      </c>
      <c r="AX7" s="27">
        <f t="shared" si="9"/>
        <v>0</v>
      </c>
      <c r="AY7" s="27">
        <f t="shared" si="10"/>
        <v>46.2</v>
      </c>
      <c r="AZ7" s="27">
        <f t="shared" si="31"/>
        <v>102.17</v>
      </c>
      <c r="BA7" s="30">
        <f t="shared" si="32"/>
        <v>0.22589999999999999</v>
      </c>
      <c r="BB7" s="27">
        <f t="shared" si="20"/>
        <v>131.99</v>
      </c>
      <c r="BC7" s="54">
        <v>0.3</v>
      </c>
      <c r="BD7" s="27">
        <f t="shared" si="13"/>
        <v>72</v>
      </c>
      <c r="BE7" s="47">
        <v>15</v>
      </c>
      <c r="BF7" s="27">
        <f t="shared" si="14"/>
        <v>189.17</v>
      </c>
      <c r="BG7" s="56">
        <f t="shared" si="15"/>
        <v>0.21179999999999999</v>
      </c>
      <c r="BH7" s="47">
        <v>239.99</v>
      </c>
      <c r="BI7" s="54">
        <v>0.45</v>
      </c>
      <c r="BJ7" s="3"/>
      <c r="BK7" s="52">
        <f t="shared" si="21"/>
        <v>131.99</v>
      </c>
      <c r="BL7" s="59">
        <f t="shared" si="22"/>
        <v>269.99</v>
      </c>
      <c r="BM7" s="52">
        <f t="shared" si="23"/>
        <v>239.99</v>
      </c>
      <c r="BN7" s="56">
        <f t="shared" si="24"/>
        <v>0.57599999999999996</v>
      </c>
      <c r="BO7" s="56">
        <f t="shared" si="25"/>
        <v>0.5111</v>
      </c>
      <c r="BQ7" s="65">
        <f t="shared" si="26"/>
        <v>3491</v>
      </c>
      <c r="BR7" s="65">
        <f t="shared" si="27"/>
        <v>13199</v>
      </c>
    </row>
    <row r="8" spans="1:70" s="32" customFormat="1">
      <c r="A8" s="20">
        <v>7</v>
      </c>
      <c r="B8" s="21"/>
      <c r="C8" s="21"/>
      <c r="D8" s="21" t="s">
        <v>4</v>
      </c>
      <c r="E8" s="21"/>
      <c r="F8" s="21" t="s">
        <v>39</v>
      </c>
      <c r="G8" s="22" t="s">
        <v>79</v>
      </c>
      <c r="H8" s="21" t="s">
        <v>77</v>
      </c>
      <c r="I8" s="21" t="s">
        <v>68</v>
      </c>
      <c r="J8" s="20" t="s">
        <v>78</v>
      </c>
      <c r="K8" s="42" t="s">
        <v>74</v>
      </c>
      <c r="L8" s="21" t="s">
        <v>69</v>
      </c>
      <c r="M8" s="21" t="s">
        <v>80</v>
      </c>
      <c r="N8" s="42"/>
      <c r="O8" s="70" t="s">
        <v>105</v>
      </c>
      <c r="P8" s="69" t="s">
        <v>93</v>
      </c>
      <c r="Q8" s="21"/>
      <c r="R8" s="21" t="s">
        <v>5</v>
      </c>
      <c r="S8" s="23">
        <v>100</v>
      </c>
      <c r="T8" s="37">
        <v>29.21</v>
      </c>
      <c r="U8" s="68">
        <f t="shared" si="28"/>
        <v>236.6</v>
      </c>
      <c r="V8" s="51">
        <v>8.1</v>
      </c>
      <c r="W8" s="37">
        <v>29.21</v>
      </c>
      <c r="X8" s="21" t="s">
        <v>3</v>
      </c>
      <c r="Y8" s="63">
        <v>39</v>
      </c>
      <c r="Z8" s="63">
        <v>34</v>
      </c>
      <c r="AA8" s="63">
        <v>48</v>
      </c>
      <c r="AB8" s="63">
        <v>4</v>
      </c>
      <c r="AC8" s="44">
        <f t="shared" si="29"/>
        <v>6.4000000000000001E-2</v>
      </c>
      <c r="AD8" s="64">
        <v>13</v>
      </c>
      <c r="AE8" s="64">
        <v>11</v>
      </c>
      <c r="AF8" s="64">
        <v>4</v>
      </c>
      <c r="AG8" s="24">
        <v>5.45</v>
      </c>
      <c r="AH8" s="24">
        <v>65</v>
      </c>
      <c r="AI8" s="25">
        <f t="shared" si="30"/>
        <v>4063</v>
      </c>
      <c r="AJ8" s="26">
        <v>4050</v>
      </c>
      <c r="AK8" s="27">
        <f t="shared" si="2"/>
        <v>1</v>
      </c>
      <c r="AL8" s="21" t="s">
        <v>70</v>
      </c>
      <c r="AM8" s="28">
        <f t="shared" si="3"/>
        <v>0.56699999999999995</v>
      </c>
      <c r="AN8" s="27">
        <f t="shared" si="4"/>
        <v>16.559999999999999</v>
      </c>
      <c r="AO8" s="27">
        <f t="shared" si="5"/>
        <v>46.77</v>
      </c>
      <c r="AP8" s="29">
        <v>0.1</v>
      </c>
      <c r="AQ8" s="27">
        <f t="shared" si="6"/>
        <v>11</v>
      </c>
      <c r="AR8" s="29">
        <v>0.15</v>
      </c>
      <c r="AS8" s="27">
        <f t="shared" si="7"/>
        <v>16.5</v>
      </c>
      <c r="AT8" s="29">
        <v>0.1</v>
      </c>
      <c r="AU8" s="27">
        <f t="shared" si="8"/>
        <v>11</v>
      </c>
      <c r="AV8" s="31"/>
      <c r="AW8" s="29">
        <v>0</v>
      </c>
      <c r="AX8" s="27">
        <f t="shared" si="9"/>
        <v>0</v>
      </c>
      <c r="AY8" s="27">
        <f t="shared" si="10"/>
        <v>38.5</v>
      </c>
      <c r="AZ8" s="27">
        <f t="shared" si="31"/>
        <v>85.27</v>
      </c>
      <c r="BA8" s="30">
        <f t="shared" si="32"/>
        <v>0.22470000000000001</v>
      </c>
      <c r="BB8" s="27">
        <f t="shared" si="20"/>
        <v>109.99</v>
      </c>
      <c r="BC8" s="54">
        <v>0.3</v>
      </c>
      <c r="BD8" s="27">
        <f t="shared" si="13"/>
        <v>60</v>
      </c>
      <c r="BE8" s="47">
        <v>15</v>
      </c>
      <c r="BF8" s="27">
        <f t="shared" si="14"/>
        <v>160.27000000000001</v>
      </c>
      <c r="BG8" s="56">
        <f t="shared" si="15"/>
        <v>0.1986</v>
      </c>
      <c r="BH8" s="47">
        <v>199.99</v>
      </c>
      <c r="BI8" s="54">
        <v>0.45</v>
      </c>
      <c r="BJ8" s="3"/>
      <c r="BK8" s="52">
        <f t="shared" si="21"/>
        <v>109.99</v>
      </c>
      <c r="BL8" s="59">
        <f t="shared" si="22"/>
        <v>229.99</v>
      </c>
      <c r="BM8" s="52">
        <f t="shared" si="23"/>
        <v>199.99</v>
      </c>
      <c r="BN8" s="56">
        <f t="shared" si="24"/>
        <v>0.57479999999999998</v>
      </c>
      <c r="BO8" s="56">
        <f t="shared" si="25"/>
        <v>0.52180000000000004</v>
      </c>
      <c r="BQ8" s="65">
        <f t="shared" si="26"/>
        <v>2921</v>
      </c>
      <c r="BR8" s="65">
        <f t="shared" si="27"/>
        <v>10999</v>
      </c>
    </row>
    <row r="9" spans="1:70" s="32" customFormat="1">
      <c r="A9" s="20">
        <v>8</v>
      </c>
      <c r="B9" s="21"/>
      <c r="C9" s="21"/>
      <c r="D9" s="21" t="s">
        <v>4</v>
      </c>
      <c r="E9" s="21"/>
      <c r="F9" s="21" t="s">
        <v>39</v>
      </c>
      <c r="G9" s="22" t="s">
        <v>79</v>
      </c>
      <c r="H9" s="21" t="s">
        <v>77</v>
      </c>
      <c r="I9" s="21" t="s">
        <v>68</v>
      </c>
      <c r="J9" s="20" t="s">
        <v>78</v>
      </c>
      <c r="K9" s="42" t="s">
        <v>74</v>
      </c>
      <c r="L9" s="21" t="s">
        <v>71</v>
      </c>
      <c r="M9" s="21" t="s">
        <v>80</v>
      </c>
      <c r="N9" s="42"/>
      <c r="O9" s="69" t="s">
        <v>94</v>
      </c>
      <c r="P9" s="69" t="s">
        <v>95</v>
      </c>
      <c r="Q9" s="21"/>
      <c r="R9" s="21" t="s">
        <v>5</v>
      </c>
      <c r="S9" s="23">
        <v>100</v>
      </c>
      <c r="T9" s="37">
        <v>34.01</v>
      </c>
      <c r="U9" s="68">
        <f t="shared" si="28"/>
        <v>275.48</v>
      </c>
      <c r="V9" s="51">
        <v>8.1</v>
      </c>
      <c r="W9" s="37">
        <v>34.01</v>
      </c>
      <c r="X9" s="21" t="s">
        <v>3</v>
      </c>
      <c r="Y9" s="63">
        <v>39</v>
      </c>
      <c r="Z9" s="63">
        <v>34</v>
      </c>
      <c r="AA9" s="63">
        <v>46</v>
      </c>
      <c r="AB9" s="63">
        <v>3</v>
      </c>
      <c r="AC9" s="44">
        <f t="shared" ref="AC9:AC11" si="33">IF(Y9="","",Y9*Z9*AA9/1000000)</f>
        <v>6.0999999999999999E-2</v>
      </c>
      <c r="AD9" s="64">
        <v>13</v>
      </c>
      <c r="AE9" s="64">
        <v>11</v>
      </c>
      <c r="AF9" s="64">
        <v>5</v>
      </c>
      <c r="AG9" s="24">
        <v>6.5</v>
      </c>
      <c r="AH9" s="24">
        <v>65</v>
      </c>
      <c r="AI9" s="25">
        <f t="shared" ref="AI9:AI11" si="34">IF(AB9="","",AH9/AC9*AB9)</f>
        <v>3197</v>
      </c>
      <c r="AJ9" s="26">
        <v>4050</v>
      </c>
      <c r="AK9" s="27">
        <f t="shared" si="2"/>
        <v>1.27</v>
      </c>
      <c r="AL9" s="21" t="s">
        <v>70</v>
      </c>
      <c r="AM9" s="28">
        <f t="shared" si="3"/>
        <v>0.56699999999999995</v>
      </c>
      <c r="AN9" s="27">
        <f t="shared" si="4"/>
        <v>19.28</v>
      </c>
      <c r="AO9" s="27">
        <f t="shared" si="5"/>
        <v>54.56</v>
      </c>
      <c r="AP9" s="29">
        <v>0.1</v>
      </c>
      <c r="AQ9" s="27">
        <f t="shared" si="6"/>
        <v>12.65</v>
      </c>
      <c r="AR9" s="29">
        <v>0.15</v>
      </c>
      <c r="AS9" s="27">
        <f t="shared" si="7"/>
        <v>18.97</v>
      </c>
      <c r="AT9" s="29">
        <v>0.1</v>
      </c>
      <c r="AU9" s="27">
        <f t="shared" si="8"/>
        <v>12.65</v>
      </c>
      <c r="AV9" s="31"/>
      <c r="AW9" s="29">
        <v>0</v>
      </c>
      <c r="AX9" s="27">
        <f t="shared" si="9"/>
        <v>0</v>
      </c>
      <c r="AY9" s="27">
        <f t="shared" si="10"/>
        <v>44.27</v>
      </c>
      <c r="AZ9" s="27">
        <f t="shared" ref="AZ9:AZ11" si="35">IF(ISERROR(AO9+AY9),"",AO9+AY9)</f>
        <v>98.83</v>
      </c>
      <c r="BA9" s="30">
        <f t="shared" ref="BA9:BA11" si="36">IF(ISERROR((BB9-AZ9)/BB9),"",(BB9-AZ9)/BB9)</f>
        <v>0.21870000000000001</v>
      </c>
      <c r="BB9" s="27">
        <f t="shared" si="20"/>
        <v>126.49</v>
      </c>
      <c r="BC9" s="54">
        <v>0.3</v>
      </c>
      <c r="BD9" s="27">
        <f t="shared" si="13"/>
        <v>69</v>
      </c>
      <c r="BE9" s="47">
        <v>15</v>
      </c>
      <c r="BF9" s="27">
        <f t="shared" si="14"/>
        <v>182.83</v>
      </c>
      <c r="BG9" s="56">
        <f t="shared" si="15"/>
        <v>0.2051</v>
      </c>
      <c r="BH9" s="47">
        <v>229.99</v>
      </c>
      <c r="BI9" s="54">
        <v>0.45</v>
      </c>
      <c r="BJ9" s="3"/>
      <c r="BK9" s="52">
        <f t="shared" si="21"/>
        <v>126.49</v>
      </c>
      <c r="BL9" s="59">
        <f t="shared" si="22"/>
        <v>259.99</v>
      </c>
      <c r="BM9" s="52">
        <f t="shared" si="23"/>
        <v>229.99</v>
      </c>
      <c r="BN9" s="56">
        <f t="shared" si="24"/>
        <v>0.56869999999999998</v>
      </c>
      <c r="BO9" s="56">
        <f t="shared" si="25"/>
        <v>0.51349999999999996</v>
      </c>
      <c r="BQ9" s="65">
        <f t="shared" si="26"/>
        <v>3401</v>
      </c>
      <c r="BR9" s="65">
        <f t="shared" si="27"/>
        <v>12649</v>
      </c>
    </row>
    <row r="10" spans="1:70" s="32" customFormat="1">
      <c r="A10" s="20">
        <v>9</v>
      </c>
      <c r="B10" s="21"/>
      <c r="C10" s="21"/>
      <c r="D10" s="21" t="s">
        <v>4</v>
      </c>
      <c r="E10" s="21"/>
      <c r="F10" s="21" t="s">
        <v>39</v>
      </c>
      <c r="G10" s="22" t="s">
        <v>79</v>
      </c>
      <c r="H10" s="21" t="s">
        <v>77</v>
      </c>
      <c r="I10" s="21" t="s">
        <v>68</v>
      </c>
      <c r="J10" s="20" t="s">
        <v>78</v>
      </c>
      <c r="K10" s="42" t="s">
        <v>74</v>
      </c>
      <c r="L10" s="21" t="s">
        <v>72</v>
      </c>
      <c r="M10" s="21" t="s">
        <v>80</v>
      </c>
      <c r="N10" s="42"/>
      <c r="O10" s="69" t="s">
        <v>96</v>
      </c>
      <c r="P10" s="69" t="s">
        <v>97</v>
      </c>
      <c r="Q10" s="21"/>
      <c r="R10" s="21" t="s">
        <v>5</v>
      </c>
      <c r="S10" s="23">
        <v>100</v>
      </c>
      <c r="T10" s="37">
        <v>34.909999999999997</v>
      </c>
      <c r="U10" s="68">
        <f t="shared" si="28"/>
        <v>282.77</v>
      </c>
      <c r="V10" s="51">
        <v>8.1</v>
      </c>
      <c r="W10" s="37">
        <v>34.909999999999997</v>
      </c>
      <c r="X10" s="21" t="s">
        <v>3</v>
      </c>
      <c r="Y10" s="63">
        <v>39</v>
      </c>
      <c r="Z10" s="63">
        <v>34</v>
      </c>
      <c r="AA10" s="63">
        <v>46</v>
      </c>
      <c r="AB10" s="63">
        <v>3</v>
      </c>
      <c r="AC10" s="44">
        <f t="shared" si="33"/>
        <v>6.0999999999999999E-2</v>
      </c>
      <c r="AD10" s="64">
        <v>13</v>
      </c>
      <c r="AE10" s="64">
        <v>11</v>
      </c>
      <c r="AF10" s="64">
        <v>5</v>
      </c>
      <c r="AG10" s="24">
        <v>6.7</v>
      </c>
      <c r="AH10" s="24">
        <v>65</v>
      </c>
      <c r="AI10" s="25">
        <f t="shared" si="34"/>
        <v>3197</v>
      </c>
      <c r="AJ10" s="26">
        <v>4050</v>
      </c>
      <c r="AK10" s="27">
        <f t="shared" si="2"/>
        <v>1.27</v>
      </c>
      <c r="AL10" s="21" t="s">
        <v>70</v>
      </c>
      <c r="AM10" s="28">
        <f t="shared" si="3"/>
        <v>0.56699999999999995</v>
      </c>
      <c r="AN10" s="27">
        <f t="shared" si="4"/>
        <v>19.79</v>
      </c>
      <c r="AO10" s="27">
        <f t="shared" si="5"/>
        <v>55.97</v>
      </c>
      <c r="AP10" s="29">
        <v>0.1</v>
      </c>
      <c r="AQ10" s="27">
        <f t="shared" si="6"/>
        <v>13.2</v>
      </c>
      <c r="AR10" s="29">
        <v>0.15</v>
      </c>
      <c r="AS10" s="27">
        <f t="shared" si="7"/>
        <v>19.8</v>
      </c>
      <c r="AT10" s="29">
        <v>0.1</v>
      </c>
      <c r="AU10" s="27">
        <f t="shared" si="8"/>
        <v>13.2</v>
      </c>
      <c r="AV10" s="31"/>
      <c r="AW10" s="29">
        <v>0</v>
      </c>
      <c r="AX10" s="27">
        <f t="shared" si="9"/>
        <v>0</v>
      </c>
      <c r="AY10" s="27">
        <f t="shared" si="10"/>
        <v>46.2</v>
      </c>
      <c r="AZ10" s="27">
        <f t="shared" si="35"/>
        <v>102.17</v>
      </c>
      <c r="BA10" s="30">
        <f t="shared" si="36"/>
        <v>0.22589999999999999</v>
      </c>
      <c r="BB10" s="27">
        <f t="shared" si="20"/>
        <v>131.99</v>
      </c>
      <c r="BC10" s="54">
        <v>0.3</v>
      </c>
      <c r="BD10" s="27">
        <f t="shared" si="13"/>
        <v>72</v>
      </c>
      <c r="BE10" s="47">
        <v>15</v>
      </c>
      <c r="BF10" s="27">
        <f t="shared" si="14"/>
        <v>189.17</v>
      </c>
      <c r="BG10" s="56">
        <f t="shared" si="15"/>
        <v>0.21179999999999999</v>
      </c>
      <c r="BH10" s="47">
        <v>239.99</v>
      </c>
      <c r="BI10" s="54">
        <v>0.45</v>
      </c>
      <c r="BJ10" s="3"/>
      <c r="BK10" s="52">
        <f t="shared" si="21"/>
        <v>131.99</v>
      </c>
      <c r="BL10" s="59">
        <f t="shared" si="22"/>
        <v>269.99</v>
      </c>
      <c r="BM10" s="52">
        <f t="shared" si="23"/>
        <v>239.99</v>
      </c>
      <c r="BN10" s="56">
        <f t="shared" si="24"/>
        <v>0.57599999999999996</v>
      </c>
      <c r="BO10" s="56">
        <f t="shared" si="25"/>
        <v>0.5111</v>
      </c>
      <c r="BQ10" s="65">
        <f t="shared" si="26"/>
        <v>3491</v>
      </c>
      <c r="BR10" s="65">
        <f t="shared" si="27"/>
        <v>13199</v>
      </c>
    </row>
    <row r="11" spans="1:70">
      <c r="A11" s="20">
        <v>10</v>
      </c>
      <c r="B11" s="41"/>
      <c r="C11" s="41"/>
      <c r="D11" s="21" t="s">
        <v>4</v>
      </c>
      <c r="E11" s="21"/>
      <c r="F11" s="21" t="s">
        <v>39</v>
      </c>
      <c r="G11" s="22" t="s">
        <v>79</v>
      </c>
      <c r="H11" s="21" t="s">
        <v>77</v>
      </c>
      <c r="I11" s="21" t="s">
        <v>68</v>
      </c>
      <c r="J11" s="20" t="s">
        <v>78</v>
      </c>
      <c r="K11" s="42" t="s">
        <v>74</v>
      </c>
      <c r="L11" s="21" t="s">
        <v>69</v>
      </c>
      <c r="M11" s="21" t="s">
        <v>81</v>
      </c>
      <c r="N11" s="42"/>
      <c r="O11" s="69" t="s">
        <v>98</v>
      </c>
      <c r="P11" s="69" t="s">
        <v>99</v>
      </c>
      <c r="Q11" s="21"/>
      <c r="R11" s="21" t="s">
        <v>5</v>
      </c>
      <c r="S11" s="23">
        <v>200</v>
      </c>
      <c r="T11" s="37">
        <v>29.21</v>
      </c>
      <c r="U11" s="68">
        <f t="shared" ref="U11:U13" si="37">IF(V11="","",W11*V11)</f>
        <v>236.6</v>
      </c>
      <c r="V11" s="51">
        <v>8.1</v>
      </c>
      <c r="W11" s="37">
        <v>29.21</v>
      </c>
      <c r="X11" s="21" t="s">
        <v>3</v>
      </c>
      <c r="Y11" s="63">
        <v>39</v>
      </c>
      <c r="Z11" s="63">
        <v>34</v>
      </c>
      <c r="AA11" s="63">
        <v>48</v>
      </c>
      <c r="AB11" s="63">
        <v>4</v>
      </c>
      <c r="AC11" s="44">
        <f t="shared" si="33"/>
        <v>6.4000000000000001E-2</v>
      </c>
      <c r="AD11" s="64">
        <v>13</v>
      </c>
      <c r="AE11" s="64">
        <v>11</v>
      </c>
      <c r="AF11" s="64">
        <v>4</v>
      </c>
      <c r="AG11" s="24">
        <v>5.45</v>
      </c>
      <c r="AH11" s="24">
        <v>65</v>
      </c>
      <c r="AI11" s="25">
        <f t="shared" si="34"/>
        <v>4063</v>
      </c>
      <c r="AJ11" s="26">
        <v>4050</v>
      </c>
      <c r="AK11" s="27">
        <f t="shared" ref="AK11:AK13" si="38">IF(ISERROR(AJ11/AI11),"",AJ11/AI11)</f>
        <v>1</v>
      </c>
      <c r="AL11" s="21" t="s">
        <v>70</v>
      </c>
      <c r="AM11" s="28">
        <f t="shared" si="3"/>
        <v>0.56699999999999995</v>
      </c>
      <c r="AN11" s="27">
        <f t="shared" ref="AN11:AN13" si="39">IF(ISERROR(W11*AM11),"",W11*AM11)</f>
        <v>16.559999999999999</v>
      </c>
      <c r="AO11" s="27">
        <f t="shared" ref="AO11:AO13" si="40">IF(ISERROR(W11+AK11+AN11),"",W11+AK11+AN11)</f>
        <v>46.77</v>
      </c>
      <c r="AP11" s="29">
        <v>0.1</v>
      </c>
      <c r="AQ11" s="27">
        <f t="shared" ref="AQ11:AQ13" si="41">IF(ISERROR(BB11*AP11),"",BB11*AP11)</f>
        <v>11</v>
      </c>
      <c r="AR11" s="29">
        <v>0.15</v>
      </c>
      <c r="AS11" s="27">
        <f t="shared" ref="AS11:AS13" si="42">IF(ISERROR(BB11*AR11),"",BB11*AR11)</f>
        <v>16.5</v>
      </c>
      <c r="AT11" s="29">
        <v>0.1</v>
      </c>
      <c r="AU11" s="27">
        <f t="shared" ref="AU11:AU13" si="43">IF(ISERROR(BB11*AT11),"",BB11*AT11)</f>
        <v>11</v>
      </c>
      <c r="AV11" s="31"/>
      <c r="AW11" s="29">
        <v>0</v>
      </c>
      <c r="AX11" s="27">
        <f t="shared" ref="AX11:AX13" si="44">IF(ISERROR(BB11*AW11),"",BB11*AW11)</f>
        <v>0</v>
      </c>
      <c r="AY11" s="27">
        <f t="shared" ref="AY11:AY13" si="45">IF(ISERROR(AQ11+AS11+AU11+AX11),"",AQ11+AS11+AU11+AX11)</f>
        <v>38.5</v>
      </c>
      <c r="AZ11" s="27">
        <f t="shared" si="35"/>
        <v>85.27</v>
      </c>
      <c r="BA11" s="30">
        <f t="shared" si="36"/>
        <v>0.22470000000000001</v>
      </c>
      <c r="BB11" s="27">
        <f t="shared" si="20"/>
        <v>109.99</v>
      </c>
      <c r="BC11" s="54">
        <v>0.3</v>
      </c>
      <c r="BD11" s="27">
        <f t="shared" ref="BD11:BD13" si="46">IF(BC11="","",BH11*BC11)</f>
        <v>60</v>
      </c>
      <c r="BE11" s="47">
        <v>15</v>
      </c>
      <c r="BF11" s="27">
        <f t="shared" ref="BF11:BF13" si="47">IF(ISERROR(AZ11+BD11+BE11),"",AZ11+BD11+BE11)</f>
        <v>160.27000000000001</v>
      </c>
      <c r="BG11" s="56">
        <f t="shared" ref="BG11:BG13" si="48">IF(BH11="","",(BH11-BF11)/BH11)</f>
        <v>0.1986</v>
      </c>
      <c r="BH11" s="47">
        <v>199.99</v>
      </c>
      <c r="BI11" s="54">
        <v>0.45</v>
      </c>
      <c r="BK11" s="52">
        <f t="shared" si="21"/>
        <v>109.99</v>
      </c>
      <c r="BL11" s="59">
        <f t="shared" si="22"/>
        <v>229.99</v>
      </c>
      <c r="BM11" s="52">
        <f t="shared" si="23"/>
        <v>199.99</v>
      </c>
      <c r="BN11" s="56">
        <f t="shared" si="24"/>
        <v>0.57479999999999998</v>
      </c>
      <c r="BO11" s="56">
        <f t="shared" si="25"/>
        <v>0.52180000000000004</v>
      </c>
      <c r="BQ11" s="65">
        <f t="shared" si="26"/>
        <v>5842</v>
      </c>
      <c r="BR11" s="65">
        <f t="shared" si="27"/>
        <v>21998</v>
      </c>
    </row>
    <row r="12" spans="1:70">
      <c r="A12" s="20">
        <v>11</v>
      </c>
      <c r="B12" s="41"/>
      <c r="C12" s="41"/>
      <c r="D12" s="21" t="s">
        <v>4</v>
      </c>
      <c r="E12" s="21"/>
      <c r="F12" s="21" t="s">
        <v>39</v>
      </c>
      <c r="G12" s="22" t="s">
        <v>79</v>
      </c>
      <c r="H12" s="21" t="s">
        <v>77</v>
      </c>
      <c r="I12" s="21" t="s">
        <v>68</v>
      </c>
      <c r="J12" s="20" t="s">
        <v>78</v>
      </c>
      <c r="K12" s="42" t="s">
        <v>74</v>
      </c>
      <c r="L12" s="21" t="s">
        <v>71</v>
      </c>
      <c r="M12" s="21" t="s">
        <v>81</v>
      </c>
      <c r="N12" s="42"/>
      <c r="O12" s="69" t="s">
        <v>100</v>
      </c>
      <c r="P12" s="69" t="s">
        <v>101</v>
      </c>
      <c r="Q12" s="21"/>
      <c r="R12" s="21" t="s">
        <v>5</v>
      </c>
      <c r="S12" s="23">
        <v>200</v>
      </c>
      <c r="T12" s="37">
        <v>34.01</v>
      </c>
      <c r="U12" s="68">
        <f t="shared" si="37"/>
        <v>275.48</v>
      </c>
      <c r="V12" s="51">
        <v>8.1</v>
      </c>
      <c r="W12" s="37">
        <v>34.01</v>
      </c>
      <c r="X12" s="21" t="s">
        <v>3</v>
      </c>
      <c r="Y12" s="63">
        <v>39</v>
      </c>
      <c r="Z12" s="63">
        <v>34</v>
      </c>
      <c r="AA12" s="63">
        <v>46</v>
      </c>
      <c r="AB12" s="63">
        <v>3</v>
      </c>
      <c r="AC12" s="44">
        <f t="shared" ref="AC12:AC13" si="49">IF(Y12="","",Y12*Z12*AA12/1000000)</f>
        <v>6.0999999999999999E-2</v>
      </c>
      <c r="AD12" s="64">
        <v>13</v>
      </c>
      <c r="AE12" s="64">
        <v>11</v>
      </c>
      <c r="AF12" s="64">
        <v>5</v>
      </c>
      <c r="AG12" s="24">
        <v>6.5</v>
      </c>
      <c r="AH12" s="24">
        <v>65</v>
      </c>
      <c r="AI12" s="25">
        <f t="shared" ref="AI12:AI13" si="50">IF(AB12="","",AH12/AC12*AB12)</f>
        <v>3197</v>
      </c>
      <c r="AJ12" s="26">
        <v>4050</v>
      </c>
      <c r="AK12" s="27">
        <f t="shared" si="38"/>
        <v>1.27</v>
      </c>
      <c r="AL12" s="21" t="s">
        <v>70</v>
      </c>
      <c r="AM12" s="28">
        <f t="shared" si="3"/>
        <v>0.56699999999999995</v>
      </c>
      <c r="AN12" s="27">
        <f t="shared" si="39"/>
        <v>19.28</v>
      </c>
      <c r="AO12" s="27">
        <f t="shared" si="40"/>
        <v>54.56</v>
      </c>
      <c r="AP12" s="29">
        <v>0.1</v>
      </c>
      <c r="AQ12" s="27">
        <f t="shared" si="41"/>
        <v>12.65</v>
      </c>
      <c r="AR12" s="29">
        <v>0.15</v>
      </c>
      <c r="AS12" s="27">
        <f t="shared" si="42"/>
        <v>18.97</v>
      </c>
      <c r="AT12" s="29">
        <v>0.1</v>
      </c>
      <c r="AU12" s="27">
        <f t="shared" si="43"/>
        <v>12.65</v>
      </c>
      <c r="AV12" s="31"/>
      <c r="AW12" s="29">
        <v>0</v>
      </c>
      <c r="AX12" s="27">
        <f t="shared" si="44"/>
        <v>0</v>
      </c>
      <c r="AY12" s="27">
        <f t="shared" si="45"/>
        <v>44.27</v>
      </c>
      <c r="AZ12" s="27">
        <f t="shared" ref="AZ12:AZ13" si="51">IF(ISERROR(AO12+AY12),"",AO12+AY12)</f>
        <v>98.83</v>
      </c>
      <c r="BA12" s="30">
        <f t="shared" ref="BA12:BA13" si="52">IF(ISERROR((BB12-AZ12)/BB12),"",(BB12-AZ12)/BB12)</f>
        <v>0.21870000000000001</v>
      </c>
      <c r="BB12" s="27">
        <f t="shared" si="20"/>
        <v>126.49</v>
      </c>
      <c r="BC12" s="54">
        <v>0.3</v>
      </c>
      <c r="BD12" s="27">
        <f t="shared" si="46"/>
        <v>69</v>
      </c>
      <c r="BE12" s="47">
        <v>15</v>
      </c>
      <c r="BF12" s="27">
        <f t="shared" si="47"/>
        <v>182.83</v>
      </c>
      <c r="BG12" s="56">
        <f t="shared" si="48"/>
        <v>0.2051</v>
      </c>
      <c r="BH12" s="47">
        <v>229.99</v>
      </c>
      <c r="BI12" s="54">
        <v>0.45</v>
      </c>
      <c r="BK12" s="52">
        <f t="shared" si="21"/>
        <v>126.49</v>
      </c>
      <c r="BL12" s="59">
        <f t="shared" si="22"/>
        <v>259.99</v>
      </c>
      <c r="BM12" s="52">
        <f t="shared" si="23"/>
        <v>229.99</v>
      </c>
      <c r="BN12" s="56">
        <f t="shared" si="24"/>
        <v>0.56869999999999998</v>
      </c>
      <c r="BO12" s="56">
        <f t="shared" si="25"/>
        <v>0.51349999999999996</v>
      </c>
      <c r="BQ12" s="65">
        <f t="shared" si="26"/>
        <v>6802</v>
      </c>
      <c r="BR12" s="65">
        <f t="shared" si="27"/>
        <v>25298</v>
      </c>
    </row>
    <row r="13" spans="1:70">
      <c r="A13" s="20">
        <v>12</v>
      </c>
      <c r="B13" s="41"/>
      <c r="C13" s="41"/>
      <c r="D13" s="21" t="s">
        <v>4</v>
      </c>
      <c r="E13" s="21"/>
      <c r="F13" s="21" t="s">
        <v>39</v>
      </c>
      <c r="G13" s="22" t="s">
        <v>79</v>
      </c>
      <c r="H13" s="21" t="s">
        <v>77</v>
      </c>
      <c r="I13" s="21" t="s">
        <v>68</v>
      </c>
      <c r="J13" s="20" t="s">
        <v>78</v>
      </c>
      <c r="K13" s="42" t="s">
        <v>74</v>
      </c>
      <c r="L13" s="21" t="s">
        <v>72</v>
      </c>
      <c r="M13" s="21" t="s">
        <v>81</v>
      </c>
      <c r="N13" s="42"/>
      <c r="O13" s="69" t="s">
        <v>102</v>
      </c>
      <c r="P13" s="69" t="s">
        <v>103</v>
      </c>
      <c r="Q13" s="21"/>
      <c r="R13" s="21" t="s">
        <v>5</v>
      </c>
      <c r="S13" s="23">
        <v>200</v>
      </c>
      <c r="T13" s="37">
        <v>34.909999999999997</v>
      </c>
      <c r="U13" s="68">
        <f t="shared" si="37"/>
        <v>282.77</v>
      </c>
      <c r="V13" s="51">
        <v>8.1</v>
      </c>
      <c r="W13" s="37">
        <v>34.909999999999997</v>
      </c>
      <c r="X13" s="21" t="s">
        <v>3</v>
      </c>
      <c r="Y13" s="63">
        <v>39</v>
      </c>
      <c r="Z13" s="63">
        <v>34</v>
      </c>
      <c r="AA13" s="63">
        <v>46</v>
      </c>
      <c r="AB13" s="63">
        <v>3</v>
      </c>
      <c r="AC13" s="44">
        <f t="shared" si="49"/>
        <v>6.0999999999999999E-2</v>
      </c>
      <c r="AD13" s="64">
        <v>13</v>
      </c>
      <c r="AE13" s="64">
        <v>11</v>
      </c>
      <c r="AF13" s="64">
        <v>5</v>
      </c>
      <c r="AG13" s="24">
        <v>6.7</v>
      </c>
      <c r="AH13" s="24">
        <v>65</v>
      </c>
      <c r="AI13" s="25">
        <f t="shared" si="50"/>
        <v>3197</v>
      </c>
      <c r="AJ13" s="26">
        <v>4050</v>
      </c>
      <c r="AK13" s="27">
        <f t="shared" si="38"/>
        <v>1.27</v>
      </c>
      <c r="AL13" s="21" t="s">
        <v>70</v>
      </c>
      <c r="AM13" s="28">
        <f t="shared" si="3"/>
        <v>0.56699999999999995</v>
      </c>
      <c r="AN13" s="27">
        <f t="shared" si="39"/>
        <v>19.79</v>
      </c>
      <c r="AO13" s="27">
        <f t="shared" si="40"/>
        <v>55.97</v>
      </c>
      <c r="AP13" s="29">
        <v>0.1</v>
      </c>
      <c r="AQ13" s="27">
        <f t="shared" si="41"/>
        <v>13.2</v>
      </c>
      <c r="AR13" s="29">
        <v>0.15</v>
      </c>
      <c r="AS13" s="27">
        <f t="shared" si="42"/>
        <v>19.8</v>
      </c>
      <c r="AT13" s="29">
        <v>0.1</v>
      </c>
      <c r="AU13" s="27">
        <f t="shared" si="43"/>
        <v>13.2</v>
      </c>
      <c r="AV13" s="31"/>
      <c r="AW13" s="29">
        <v>0</v>
      </c>
      <c r="AX13" s="27">
        <f t="shared" si="44"/>
        <v>0</v>
      </c>
      <c r="AY13" s="27">
        <f t="shared" si="45"/>
        <v>46.2</v>
      </c>
      <c r="AZ13" s="27">
        <f t="shared" si="51"/>
        <v>102.17</v>
      </c>
      <c r="BA13" s="30">
        <f t="shared" si="52"/>
        <v>0.22589999999999999</v>
      </c>
      <c r="BB13" s="27">
        <f t="shared" si="20"/>
        <v>131.99</v>
      </c>
      <c r="BC13" s="54">
        <v>0.3</v>
      </c>
      <c r="BD13" s="27">
        <f t="shared" si="46"/>
        <v>72</v>
      </c>
      <c r="BE13" s="47">
        <v>15</v>
      </c>
      <c r="BF13" s="27">
        <f t="shared" si="47"/>
        <v>189.17</v>
      </c>
      <c r="BG13" s="56">
        <f t="shared" si="48"/>
        <v>0.21179999999999999</v>
      </c>
      <c r="BH13" s="47">
        <v>239.99</v>
      </c>
      <c r="BI13" s="54">
        <v>0.45</v>
      </c>
      <c r="BK13" s="52">
        <f t="shared" si="21"/>
        <v>131.99</v>
      </c>
      <c r="BL13" s="59">
        <f t="shared" si="22"/>
        <v>269.99</v>
      </c>
      <c r="BM13" s="52">
        <f t="shared" si="23"/>
        <v>239.99</v>
      </c>
      <c r="BN13" s="56">
        <f t="shared" si="24"/>
        <v>0.57599999999999996</v>
      </c>
      <c r="BO13" s="56">
        <f t="shared" si="25"/>
        <v>0.5111</v>
      </c>
      <c r="BQ13" s="65">
        <f t="shared" si="26"/>
        <v>6982</v>
      </c>
      <c r="BR13" s="65">
        <f t="shared" si="27"/>
        <v>26398</v>
      </c>
    </row>
  </sheetData>
  <sheetProtection insertRows="0" deleteRows="0" sort="0"/>
  <protectedRanges>
    <protectedRange sqref="D14:E94 C14:C93 C2:J13 T14:AY93 L2:N13 F14:R93 BG2:BG13 BJ11:BJ13 AK2:AK13 AC2:AC13 AH2:AI13 AN2:BE13 V2:V13 X2:X13 P2:R13 A2:B94" name="Range1"/>
    <protectedRange sqref="AG2:AG13" name="Range1_2"/>
    <protectedRange sqref="AJ2:AJ13" name="Range1_3"/>
    <protectedRange sqref="AL2:AM13" name="Range1_4"/>
    <protectedRange sqref="S2:S13" name="Range1_6"/>
    <protectedRange sqref="K2:K13" name="Range1_1"/>
    <protectedRange sqref="U2:U13" name="Range1_5"/>
  </protectedRanges>
  <phoneticPr fontId="11" type="noConversion"/>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BB226CAE-0729-4F78-816A-AB1E83AB41F3}">
          <x14:formula1>
            <xm:f>#REF!</xm:f>
          </x14:formula1>
          <xm:sqref>D2:D13</xm:sqref>
        </x14:dataValidation>
        <x14:dataValidation type="list" allowBlank="1" showInputMessage="1" showErrorMessage="1" xr:uid="{967DBF80-5923-4653-BF59-28D4E6B58AF8}">
          <x14:formula1>
            <xm:f>#REF!</xm:f>
          </x14:formula1>
          <xm:sqref>E2:E13</xm:sqref>
        </x14:dataValidation>
        <x14:dataValidation type="list" allowBlank="1" showInputMessage="1" showErrorMessage="1" xr:uid="{16507902-C22B-43C3-B29F-ACFC0EA193EE}">
          <x14:formula1>
            <xm:f>#REF!</xm:f>
          </x14:formula1>
          <xm:sqref>R2:R13</xm:sqref>
        </x14:dataValidation>
        <x14:dataValidation type="list" allowBlank="1" showInputMessage="1" showErrorMessage="1" xr:uid="{12EC859C-B984-4A37-9A10-C65138758A82}">
          <x14:formula1>
            <xm:f>#REF!</xm:f>
          </x14:formula1>
          <xm:sqref>X2:X13</xm:sqref>
        </x14:dataValidation>
        <x14:dataValidation type="list" allowBlank="1" showInputMessage="1" showErrorMessage="1" xr:uid="{D6755A9F-267F-4202-9F10-5D682F6D57D3}">
          <x14:formula1>
            <xm:f>#REF!</xm:f>
          </x14:formula1>
          <xm:sqref>F2:F13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Item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 Zhu</dc:creator>
  <cp:lastModifiedBy>张莉</cp:lastModifiedBy>
  <dcterms:created xsi:type="dcterms:W3CDTF">2025-03-10T18:28:45Z</dcterms:created>
  <dcterms:modified xsi:type="dcterms:W3CDTF">2025-12-03T02:31:34Z</dcterms:modified>
</cp:coreProperties>
</file>