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90180\Desktop\"/>
    </mc:Choice>
  </mc:AlternateContent>
  <bookViews>
    <workbookView xWindow="0" yWindow="0" windowWidth="28800" windowHeight="12450"/>
  </bookViews>
  <sheets>
    <sheet name="Item" sheetId="5" r:id="rId1"/>
  </sheets>
  <externalReferences>
    <externalReference r:id="rId2"/>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#N/A</definedName>
    <definedName name="UNIT">[1]Sheet1!$EF$2:$EF$3</definedName>
    <definedName name="vlook">#REF!</definedName>
    <definedName name="wood">[1]Sheet1!$EG$2:$EG$3</definedName>
  </definedNames>
  <calcPr calcId="15251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4" i="5" l="1"/>
  <c r="BP4" i="5" s="1"/>
  <c r="BB3" i="5"/>
  <c r="BP3" i="5" s="1"/>
  <c r="BO4" i="5"/>
  <c r="BK4" i="5"/>
  <c r="BJ4" i="5" s="1"/>
  <c r="BD4" i="5"/>
  <c r="AM4" i="5"/>
  <c r="AN4" i="5" s="1"/>
  <c r="AC4" i="5"/>
  <c r="AI4" i="5" s="1"/>
  <c r="AK4" i="5" s="1"/>
  <c r="U4" i="5"/>
  <c r="BO3" i="5"/>
  <c r="BK3" i="5"/>
  <c r="BJ3" i="5" s="1"/>
  <c r="BD3" i="5"/>
  <c r="AM3" i="5"/>
  <c r="AN3" i="5" s="1"/>
  <c r="AC3" i="5"/>
  <c r="AI3" i="5" s="1"/>
  <c r="AK3" i="5" s="1"/>
  <c r="U3" i="5"/>
  <c r="BO2" i="5"/>
  <c r="BK2" i="5"/>
  <c r="BJ2" i="5" s="1"/>
  <c r="BD2" i="5"/>
  <c r="BB2" i="5"/>
  <c r="BP2" i="5" s="1"/>
  <c r="AM2" i="5"/>
  <c r="AN2" i="5" s="1"/>
  <c r="AC2" i="5"/>
  <c r="AI2" i="5" s="1"/>
  <c r="AK2" i="5" s="1"/>
  <c r="U2" i="5"/>
  <c r="AO4" i="5" l="1"/>
  <c r="AO3" i="5"/>
  <c r="BI4" i="5"/>
  <c r="AQ4" i="5"/>
  <c r="AS4" i="5"/>
  <c r="AU4" i="5"/>
  <c r="AX4" i="5"/>
  <c r="BI3" i="5"/>
  <c r="AQ3" i="5"/>
  <c r="AS3" i="5"/>
  <c r="AU3" i="5"/>
  <c r="AX3" i="5"/>
  <c r="AO2" i="5"/>
  <c r="BI2" i="5"/>
  <c r="AQ2" i="5"/>
  <c r="AS2" i="5"/>
  <c r="AU2" i="5"/>
  <c r="AX2" i="5"/>
  <c r="BL3" i="5" l="1"/>
  <c r="BL4" i="5"/>
  <c r="AY4" i="5"/>
  <c r="AZ4" i="5" s="1"/>
  <c r="BM4" i="5"/>
  <c r="AY3" i="5"/>
  <c r="AZ3" i="5" s="1"/>
  <c r="BM3" i="5"/>
  <c r="AY2" i="5"/>
  <c r="AZ2" i="5" s="1"/>
  <c r="BL2" i="5"/>
  <c r="BM2" i="5"/>
  <c r="BF4" i="5" l="1"/>
  <c r="BG4" i="5" s="1"/>
  <c r="BA4" i="5"/>
  <c r="BF3" i="5"/>
  <c r="BG3" i="5" s="1"/>
  <c r="BA3" i="5"/>
  <c r="BF2" i="5"/>
  <c r="BG2" i="5" s="1"/>
  <c r="BA2" i="5"/>
</calcChain>
</file>

<file path=xl/comments1.xml><?xml version="1.0" encoding="utf-8"?>
<comments xmlns="http://schemas.openxmlformats.org/spreadsheetml/2006/main">
  <authors>
    <author>heather.zhu@jlahome.com</author>
  </authors>
  <commentList>
    <comment ref="U1" authorId="0" shapeId="0">
      <text>
        <r>
          <rPr>
            <sz val="11"/>
            <rFont val="Calibri"/>
            <family val="2"/>
          </rPr>
          <t>[FOB Cost (Value)]*[Exchange Rate]</t>
        </r>
      </text>
    </comment>
    <comment ref="AC1" authorId="0" shapeId="0">
      <text>
        <r>
          <rPr>
            <sz val="11"/>
            <rFont val="Calibri"/>
            <family val="2"/>
          </rPr>
          <t>[Carton Size L (cm)]*[Carton Size W (cm)]*[Carton Size H (cm)]/1000000</t>
        </r>
      </text>
    </comment>
    <comment ref="AI1" authorId="0" shapeId="0">
      <text>
        <r>
          <rPr>
            <sz val="11"/>
            <rFont val="Calibri"/>
            <family val="2"/>
          </rPr>
          <t xml:space="preserve">[Container Volumn]/[Cubic Meter per Carton]*[Case Pack]
</t>
        </r>
      </text>
    </comment>
    <comment ref="AK1" authorId="0" shapeId="0">
      <text>
        <r>
          <rPr>
            <sz val="11"/>
            <rFont val="Calibri"/>
            <family val="2"/>
          </rPr>
          <t>[40ft Container Freight]/[Total Units per 40ft Container]</t>
        </r>
      </text>
    </comment>
    <comment ref="AN1" authorId="0" shapeId="0">
      <text>
        <r>
          <rPr>
            <sz val="11"/>
            <rFont val="Calibri"/>
            <family val="2"/>
          </rPr>
          <t>[FOB Cost $ (Formula)]*[Duty Rate]</t>
        </r>
      </text>
    </comment>
    <comment ref="AO1" authorId="0" shapeId="0">
      <text>
        <r>
          <rPr>
            <sz val="11"/>
            <rFont val="Calibri"/>
            <family val="2"/>
          </rPr>
          <t>[FOB Cost $ (Formula)]+[Ocean Freight per Item $]+[Duty per Item $]</t>
        </r>
      </text>
    </comment>
    <comment ref="AQ1" authorId="0" shapeId="0">
      <text>
        <r>
          <rPr>
            <sz val="11"/>
            <rFont val="Calibri"/>
            <family val="2"/>
          </rPr>
          <t>[Standard Price]*[DA %]</t>
        </r>
      </text>
    </comment>
    <comment ref="AS1" authorId="0" shapeId="0">
      <text>
        <r>
          <rPr>
            <sz val="11"/>
            <rFont val="Calibri"/>
            <family val="2"/>
          </rPr>
          <t>[Standard Price]*[Warehouse Charge %]</t>
        </r>
      </text>
    </comment>
    <comment ref="AU1" authorId="0" shapeId="0">
      <text>
        <r>
          <rPr>
            <sz val="11"/>
            <rFont val="Calibri"/>
            <family val="2"/>
          </rPr>
          <t>[Standard Price]*[Marketing %]</t>
        </r>
      </text>
    </comment>
    <comment ref="AX1" authorId="0" shapeId="0">
      <text>
        <r>
          <rPr>
            <sz val="11"/>
            <rFont val="Calibri"/>
            <family val="2"/>
          </rPr>
          <t>[Standard Price]*[Other Load %]</t>
        </r>
      </text>
    </comment>
    <comment ref="AY1" authorId="0" shapeId="0">
      <text>
        <r>
          <rPr>
            <sz val="11"/>
            <rFont val="Calibri"/>
            <family val="2"/>
          </rPr>
          <t>[DA $]+[Warehouse Charge $]+[Marketing $]+[Other Load $]</t>
        </r>
      </text>
    </comment>
    <comment ref="AZ1" authorId="0" shapeId="0">
      <text>
        <r>
          <rPr>
            <sz val="11"/>
            <rFont val="Calibri"/>
            <family val="2"/>
          </rPr>
          <t>[LDP Cost $]+[Total Load $]</t>
        </r>
      </text>
    </comment>
    <comment ref="BA1" authorId="0" shapeId="0">
      <text>
        <r>
          <rPr>
            <sz val="11"/>
            <rFont val="Calibri"/>
            <family val="2"/>
          </rPr>
          <t>([JLA Domestic Price]-[LDP Cost with Load $])/[JLA Domestic Price]</t>
        </r>
      </text>
    </comment>
    <comment ref="BB1" authorId="0" shapeId="0">
      <text>
        <r>
          <rPr>
            <sz val="11"/>
            <rFont val="Calibri"/>
            <family val="2"/>
          </rPr>
          <t>[Average Retail Price]*(1-60%)</t>
        </r>
      </text>
    </comment>
    <comment ref="BD1" authorId="0" shapeId="0">
      <text>
        <r>
          <rPr>
            <sz val="11"/>
            <rFont val="Calibri"/>
            <family val="2"/>
          </rPr>
          <t>[Average Retail Price]*[Retail Marketing %]</t>
        </r>
      </text>
    </comment>
    <comment ref="BF1" authorId="0" shapeId="0">
      <text>
        <r>
          <rPr>
            <sz val="11"/>
            <rFont val="Calibri"/>
            <family val="2"/>
          </rPr>
          <t>[Average Retail Price]*(1-60%)</t>
        </r>
      </text>
    </comment>
    <comment ref="BG1" authorId="0" shapeId="0">
      <text>
        <r>
          <rPr>
            <sz val="11"/>
            <rFont val="Calibri"/>
            <family val="2"/>
          </rPr>
          <t>([Average Retail Price]-[Total Cost w/ Retail Expenses])/[Average Retail Price]</t>
        </r>
      </text>
    </comment>
    <comment ref="BI1" authorId="0" shapeId="0">
      <text>
        <r>
          <rPr>
            <sz val="11"/>
            <rFont val="Calibri"/>
            <family val="2"/>
          </rPr>
          <t>=[Standard Price]</t>
        </r>
      </text>
    </comment>
    <comment ref="BJ1" authorId="0" shapeId="0">
      <text>
        <r>
          <rPr>
            <sz val="11"/>
            <rFont val="Calibri"/>
            <family val="2"/>
          </rPr>
          <t>[JLA POE Price]*[Total Quantity]</t>
        </r>
      </text>
    </comment>
    <comment ref="BK1" authorId="0" shapeId="0">
      <text>
        <r>
          <rPr>
            <sz val="11"/>
            <rFont val="Calibri"/>
            <family val="2"/>
          </rPr>
          <t>=[Average Retail Price]</t>
        </r>
      </text>
    </comment>
    <comment ref="BL1" authorId="0" shapeId="0">
      <text>
        <r>
          <rPr>
            <sz val="11"/>
            <rFont val="Calibri"/>
            <family val="2"/>
          </rPr>
          <t>([Customer Cost]-[LDP Cost])/[Customer Cost]</t>
        </r>
      </text>
    </comment>
    <comment ref="BM1" authorId="0" shapeId="0">
      <text>
        <r>
          <rPr>
            <sz val="11"/>
            <rFont val="Calibri"/>
            <family val="2"/>
          </rPr>
          <t>([Suggested Retail Price]-[Customer Cost])/Suggested Retail Price]</t>
        </r>
      </text>
    </comment>
  </commentList>
</comments>
</file>

<file path=xl/sharedStrings.xml><?xml version="1.0" encoding="utf-8"?>
<sst xmlns="http://schemas.openxmlformats.org/spreadsheetml/2006/main" count="107" uniqueCount="85">
  <si>
    <t>Brand</t>
  </si>
  <si>
    <t>Package Type</t>
  </si>
  <si>
    <t>Licensor</t>
  </si>
  <si>
    <t>Normal</t>
  </si>
  <si>
    <t>Harbor House</t>
  </si>
  <si>
    <t>Piece</t>
  </si>
  <si>
    <t>Line No.</t>
  </si>
  <si>
    <t>Photo</t>
  </si>
  <si>
    <t>VIN/Art No.</t>
  </si>
  <si>
    <t>Product Category</t>
  </si>
  <si>
    <t>Pattern</t>
  </si>
  <si>
    <t>Item Description</t>
  </si>
  <si>
    <t>Description-Short</t>
  </si>
  <si>
    <t>Fabrication</t>
  </si>
  <si>
    <t>Size/Spec.</t>
  </si>
  <si>
    <t>Color</t>
  </si>
  <si>
    <t>Item No.</t>
  </si>
  <si>
    <t>UPC</t>
  </si>
  <si>
    <t>Unit of Measure</t>
  </si>
  <si>
    <t>Carton Size L (cm)</t>
  </si>
  <si>
    <t>Carton Size W (cm)</t>
  </si>
  <si>
    <t>Carton Size H (cm)</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</si>
  <si>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</si>
  <si>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</si>
  <si>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</si>
  <si>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</si>
  <si>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</si>
  <si>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</si>
  <si>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</si>
  <si>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</si>
  <si>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</si>
  <si>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</si>
  <si>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</si>
  <si>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</si>
  <si>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</si>
  <si>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</si>
  <si>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Total Load $</t>
  </si>
  <si>
    <t>LDP Cost with Load $</t>
  </si>
  <si>
    <t>Total Quantity</t>
  </si>
  <si>
    <t>SHEET/SHEET SET</t>
  </si>
  <si>
    <t>UCCPM Price</t>
  </si>
  <si>
    <t>Customer Item#</t>
  </si>
  <si>
    <t>JLA Domestic MU%</t>
  </si>
  <si>
    <t>Trim</t>
  </si>
  <si>
    <t>Material-Short</t>
  </si>
  <si>
    <t>FOB Cost (Value)</t>
  </si>
  <si>
    <t>Exchange Rate</t>
  </si>
  <si>
    <t>Product Size L (in)</t>
  </si>
  <si>
    <t>Product Size W (in)</t>
  </si>
  <si>
    <t>Product Size H (in)</t>
  </si>
  <si>
    <t>Product Net Weight (lb)</t>
  </si>
  <si>
    <t>Other Load</t>
  </si>
  <si>
    <t>Other Load %</t>
  </si>
  <si>
    <t>Other Load $</t>
  </si>
  <si>
    <t>Marketing $</t>
  </si>
  <si>
    <t>Marketing %</t>
  </si>
  <si>
    <t>Standard Price</t>
  </si>
  <si>
    <t>Average Retail Price</t>
  </si>
  <si>
    <t>Retail Marketing %</t>
  </si>
  <si>
    <t>Retail Marketing $</t>
  </si>
  <si>
    <t>Shipping Fee</t>
  </si>
  <si>
    <t>Total Cost w/ Retail Expenses</t>
  </si>
  <si>
    <t>Retail Markup %</t>
  </si>
  <si>
    <t>Customer Cost</t>
  </si>
  <si>
    <t>MAP $</t>
  </si>
  <si>
    <t>Suggested Retail Price</t>
  </si>
  <si>
    <t>Retailer Markup %</t>
  </si>
  <si>
    <t>Load % + Margin %</t>
  </si>
  <si>
    <t>Sheet Set</t>
    <phoneticPr fontId="11" type="noConversion"/>
  </si>
  <si>
    <t>6302.31.9020</t>
    <phoneticPr fontId="11" type="noConversion"/>
  </si>
  <si>
    <t>Linen</t>
    <phoneticPr fontId="11" type="noConversion"/>
  </si>
  <si>
    <t xml:space="preserve">Brielle </t>
    <phoneticPr fontId="11" type="noConversion"/>
  </si>
  <si>
    <t xml:space="preserve">Scalloped Edge Cotton Sheet Set </t>
    <phoneticPr fontId="11" type="noConversion"/>
  </si>
  <si>
    <t>Cotton Sateen</t>
    <phoneticPr fontId="11" type="noConversion"/>
  </si>
  <si>
    <t>Grey</t>
    <phoneticPr fontId="11" type="noConversion"/>
  </si>
  <si>
    <t>Blue</t>
    <phoneticPr fontId="11" type="noConversion"/>
  </si>
  <si>
    <t>Fabirc: 300TC 100% cotton sateen 
Fitted sheet fits mattresses up to 16" deep and has 1" elastic all the way around. With scalloped emb. in flat sheet. Pillowcase with scalloped emb. on one side. 
Packing:  HH print gift box. Case pack 4/3/3</t>
    <phoneticPr fontId="11" type="noConversion"/>
  </si>
  <si>
    <t>FOB Cost (RMB)</t>
  </si>
  <si>
    <t>Split King: 110"x105"/39"+80"+16"(2)/20"x40"(2)</t>
    <phoneticPr fontId="11" type="noConversion"/>
  </si>
  <si>
    <t>HHD20-2008</t>
    <phoneticPr fontId="11" type="noConversion"/>
  </si>
  <si>
    <t>HHD20-2009</t>
  </si>
  <si>
    <t>HHD20-2010</t>
  </si>
  <si>
    <t>022164696288</t>
    <phoneticPr fontId="11" type="noConversion"/>
  </si>
  <si>
    <t>022164696295</t>
    <phoneticPr fontId="11" type="noConversion"/>
  </si>
  <si>
    <t>022164696301</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</si>
</sst>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6" formatCode="_(&quot;$&quot;* #,##0.00_);_(&quot;$&quot;* \(#,##0.00\);_(&quot;$&quot;* &quot;-&quot;??_);_(@_)"/>
    <numFmt numFmtId="177" formatCode="[$-409]dd/mmm/yy;@"/>
    <numFmt numFmtId="178" formatCode="0.00_);[Red]\(0.00\)"/>
  </numFmts>
  <fonts count="17">
    <font>
      <sz val="11"/>
      <name val="Calibri"/>
    </font>
    <font>
      <sz val="11"/>
      <color theme="1"/>
      <name val="等线"/>
      <family val="2"/>
      <scheme val="minor"/>
    </font>
    <font>
      <b/>
      <sz val="11"/>
      <name val="Calibri"/>
      <family val="2"/>
    </font>
    <font>
      <sz val="11"/>
      <name val="Calibri"/>
      <family val="2"/>
    </font>
    <font>
      <sz val="10"/>
      <name val="Arial"/>
      <family val="2"/>
    </font>
    <font>
      <sz val="10"/>
      <color indexed="12"/>
      <name val="Arial"/>
      <family val="2"/>
    </font>
    <font>
      <b/>
      <sz val="10"/>
      <name val="Arial"/>
      <family val="2"/>
    </font>
    <font>
      <sz val="10"/>
      <color theme="1"/>
      <name val="Arial"/>
      <family val="2"/>
    </font>
    <font>
      <b/>
      <i/>
      <sz val="11"/>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sz val="11"/>
      <name val="Calibri"/>
      <family val="2"/>
    </font>
    <font>
      <sz val="10"/>
      <color theme="1"/>
      <name val="等线"/>
      <family val="3"/>
      <charset val="134"/>
      <scheme val="minor"/>
    </font>
    <font>
      <sz val="9"/>
      <color theme="1" tint="4.9989318521683403E-2"/>
      <name val="微软雅黑"/>
      <family val="2"/>
      <charset val="134"/>
    </font>
  </fonts>
  <fills count="10">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399975585192419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8">
    <xf numFmtId="177" fontId="0" fillId="0" borderId="0"/>
    <xf numFmtId="177" fontId="4" fillId="0" borderId="0"/>
    <xf numFmtId="177" fontId="4" fillId="0" borderId="0"/>
    <xf numFmtId="177" fontId="4" fillId="0" borderId="0"/>
    <xf numFmtId="177" fontId="3" fillId="0" borderId="0"/>
    <xf numFmtId="9" fontId="3" fillId="0" borderId="0" applyFont="0" applyFill="0" applyBorder="0" applyAlignment="0" applyProtection="0"/>
    <xf numFmtId="177" fontId="4" fillId="0" borderId="0"/>
    <xf numFmtId="9" fontId="4" fillId="0" borderId="0" applyFont="0" applyFill="0" applyBorder="0" applyAlignment="0" applyProtection="0"/>
    <xf numFmtId="176" fontId="4" fillId="0" borderId="0" applyFont="0" applyFill="0" applyBorder="0" applyAlignment="0" applyProtection="0"/>
    <xf numFmtId="177" fontId="4" fillId="0" borderId="0"/>
    <xf numFmtId="177" fontId="10" fillId="0" borderId="0">
      <alignment vertical="center"/>
    </xf>
    <xf numFmtId="9" fontId="10" fillId="0" borderId="0" applyFont="0" applyFill="0" applyBorder="0" applyAlignment="0" applyProtection="0"/>
    <xf numFmtId="177" fontId="4" fillId="0" borderId="0"/>
    <xf numFmtId="9" fontId="4" fillId="0" borderId="0" applyFont="0" applyFill="0" applyBorder="0" applyAlignment="0" applyProtection="0"/>
    <xf numFmtId="43" fontId="4" fillId="0" borderId="0" applyFont="0" applyFill="0" applyBorder="0" applyAlignment="0" applyProtection="0">
      <alignment vertical="center"/>
    </xf>
    <xf numFmtId="9" fontId="4" fillId="0" borderId="0" applyFont="0" applyFill="0" applyBorder="0" applyAlignment="0" applyProtection="0"/>
    <xf numFmtId="177" fontId="4" fillId="0" borderId="0"/>
    <xf numFmtId="177" fontId="1" fillId="0" borderId="0"/>
    <xf numFmtId="9" fontId="1" fillId="0" borderId="0" applyFont="0" applyFill="0" applyBorder="0" applyAlignment="0" applyProtection="0"/>
    <xf numFmtId="177" fontId="12" fillId="0" borderId="0"/>
    <xf numFmtId="177" fontId="4" fillId="0" borderId="0"/>
    <xf numFmtId="176" fontId="13" fillId="0" borderId="0" applyFont="0" applyFill="0" applyBorder="0" applyAlignment="0" applyProtection="0"/>
    <xf numFmtId="9" fontId="13" fillId="0" borderId="0" applyFont="0" applyFill="0" applyBorder="0" applyAlignment="0" applyProtection="0"/>
    <xf numFmtId="177" fontId="13" fillId="0" borderId="0"/>
    <xf numFmtId="176" fontId="4" fillId="0" borderId="0" applyFont="0" applyFill="0" applyBorder="0" applyAlignment="0" applyProtection="0"/>
    <xf numFmtId="176" fontId="14" fillId="0" borderId="0" applyFont="0" applyFill="0" applyBorder="0" applyAlignment="0" applyProtection="0"/>
    <xf numFmtId="177" fontId="15" fillId="0" borderId="0" applyNumberFormat="0" applyFont="0" applyFill="0" applyBorder="0" applyProtection="0"/>
    <xf numFmtId="177" fontId="4" fillId="0" borderId="0"/>
  </cellStyleXfs>
  <cellXfs count="38">
    <xf numFmtId="177" fontId="0" fillId="0" borderId="0" xfId="0"/>
    <xf numFmtId="178" fontId="2" fillId="0" borderId="1" xfId="4" applyNumberFormat="1" applyFont="1" applyBorder="1" applyAlignment="1">
      <alignment horizontal="center" wrapText="1"/>
    </xf>
    <xf numFmtId="178" fontId="2" fillId="5" borderId="1" xfId="4" applyNumberFormat="1" applyFont="1" applyFill="1" applyBorder="1" applyAlignment="1">
      <alignment horizontal="center" wrapText="1"/>
    </xf>
    <xf numFmtId="178" fontId="8" fillId="5" borderId="1" xfId="4" applyNumberFormat="1" applyFont="1" applyFill="1" applyBorder="1" applyAlignment="1">
      <alignment horizontal="center" wrapText="1"/>
    </xf>
    <xf numFmtId="178" fontId="8" fillId="6" borderId="1" xfId="4" applyNumberFormat="1" applyFont="1" applyFill="1" applyBorder="1" applyAlignment="1">
      <alignment horizontal="center" wrapText="1"/>
    </xf>
    <xf numFmtId="178" fontId="2" fillId="6" borderId="1" xfId="4" applyNumberFormat="1" applyFont="1" applyFill="1" applyBorder="1" applyAlignment="1">
      <alignment horizontal="center" wrapText="1"/>
    </xf>
    <xf numFmtId="178" fontId="2" fillId="6" borderId="5" xfId="4" applyNumberFormat="1" applyFont="1" applyFill="1" applyBorder="1" applyAlignment="1">
      <alignment horizontal="center" wrapText="1"/>
    </xf>
    <xf numFmtId="178" fontId="2" fillId="4" borderId="5" xfId="4" applyNumberFormat="1" applyFont="1" applyFill="1" applyBorder="1" applyAlignment="1">
      <alignment wrapText="1"/>
    </xf>
    <xf numFmtId="178" fontId="9" fillId="4" borderId="5" xfId="1" applyNumberFormat="1" applyFont="1" applyFill="1" applyBorder="1" applyAlignment="1">
      <alignment wrapText="1"/>
    </xf>
    <xf numFmtId="178" fontId="6" fillId="7" borderId="5" xfId="1" applyNumberFormat="1" applyFont="1" applyFill="1" applyBorder="1" applyAlignment="1">
      <alignment wrapText="1"/>
    </xf>
    <xf numFmtId="178" fontId="8" fillId="0" borderId="1" xfId="4" applyNumberFormat="1" applyFont="1" applyBorder="1" applyAlignment="1">
      <alignment horizontal="center" wrapText="1"/>
    </xf>
    <xf numFmtId="178" fontId="9" fillId="0" borderId="1" xfId="1" applyNumberFormat="1" applyFont="1" applyBorder="1" applyAlignment="1">
      <alignment wrapText="1"/>
    </xf>
    <xf numFmtId="178" fontId="6" fillId="0" borderId="1" xfId="1" applyNumberFormat="1" applyFont="1" applyBorder="1" applyAlignment="1">
      <alignment wrapText="1"/>
    </xf>
    <xf numFmtId="178" fontId="9" fillId="6" borderId="1" xfId="1" applyNumberFormat="1" applyFont="1" applyFill="1" applyBorder="1" applyAlignment="1">
      <alignment wrapText="1"/>
    </xf>
    <xf numFmtId="178" fontId="9" fillId="3" borderId="1" xfId="1" applyNumberFormat="1" applyFont="1" applyFill="1" applyBorder="1" applyAlignment="1">
      <alignment wrapText="1"/>
    </xf>
    <xf numFmtId="178" fontId="6" fillId="3" borderId="6" xfId="1" applyNumberFormat="1" applyFont="1" applyFill="1" applyBorder="1" applyAlignment="1">
      <alignment wrapText="1"/>
    </xf>
    <xf numFmtId="178" fontId="6" fillId="0" borderId="6" xfId="1" applyNumberFormat="1" applyFont="1" applyBorder="1" applyAlignment="1">
      <alignment wrapText="1"/>
    </xf>
    <xf numFmtId="178" fontId="6" fillId="3" borderId="5" xfId="1" applyNumberFormat="1" applyFont="1" applyFill="1" applyBorder="1" applyAlignment="1">
      <alignment wrapText="1"/>
    </xf>
    <xf numFmtId="178" fontId="5" fillId="2" borderId="5" xfId="1" applyNumberFormat="1" applyFont="1" applyFill="1" applyBorder="1" applyAlignment="1">
      <alignment wrapText="1"/>
    </xf>
    <xf numFmtId="178" fontId="5" fillId="2" borderId="1" xfId="1" applyNumberFormat="1" applyFont="1" applyFill="1" applyBorder="1" applyAlignment="1">
      <alignment wrapText="1"/>
    </xf>
    <xf numFmtId="178" fontId="3" fillId="0" borderId="0" xfId="4" applyNumberFormat="1" applyAlignment="1">
      <alignment wrapText="1"/>
    </xf>
    <xf numFmtId="178" fontId="3" fillId="0" borderId="1" xfId="4" applyNumberFormat="1" applyBorder="1" applyAlignment="1">
      <alignment horizontal="center"/>
    </xf>
    <xf numFmtId="178" fontId="3" fillId="0" borderId="1" xfId="4" applyNumberFormat="1" applyBorder="1"/>
    <xf numFmtId="178" fontId="3" fillId="0" borderId="5" xfId="4" applyNumberFormat="1" applyBorder="1"/>
    <xf numFmtId="178" fontId="3" fillId="3" borderId="1" xfId="4" applyNumberFormat="1" applyFill="1" applyBorder="1"/>
    <xf numFmtId="178" fontId="4" fillId="9" borderId="3" xfId="0" applyNumberFormat="1" applyFont="1" applyFill="1" applyBorder="1"/>
    <xf numFmtId="178" fontId="3" fillId="3" borderId="2" xfId="4" applyNumberFormat="1" applyFill="1" applyBorder="1" applyAlignment="1">
      <alignment horizontal="center" wrapText="1"/>
    </xf>
    <xf numFmtId="178" fontId="3" fillId="2" borderId="5" xfId="4" applyNumberFormat="1" applyFill="1" applyBorder="1"/>
    <xf numFmtId="178" fontId="3" fillId="0" borderId="6" xfId="4" applyNumberFormat="1" applyBorder="1"/>
    <xf numFmtId="178" fontId="16" fillId="8" borderId="5" xfId="26" applyNumberFormat="1" applyFont="1" applyFill="1" applyBorder="1" applyAlignment="1">
      <alignment horizontal="center" vertical="center"/>
    </xf>
    <xf numFmtId="178" fontId="3" fillId="2" borderId="1" xfId="4" applyNumberFormat="1" applyFill="1" applyBorder="1"/>
    <xf numFmtId="178" fontId="16" fillId="8" borderId="5" xfId="26" applyNumberFormat="1" applyFont="1" applyFill="1" applyBorder="1" applyAlignment="1">
      <alignment horizontal="center" vertical="center" wrapText="1"/>
    </xf>
    <xf numFmtId="178" fontId="0" fillId="2" borderId="1" xfId="5" applyNumberFormat="1" applyFont="1" applyFill="1" applyBorder="1" applyAlignment="1"/>
    <xf numFmtId="178" fontId="3" fillId="3" borderId="5" xfId="4" applyNumberFormat="1" applyFill="1" applyBorder="1"/>
    <xf numFmtId="178" fontId="3" fillId="0" borderId="0" xfId="4" applyNumberFormat="1"/>
    <xf numFmtId="178" fontId="7" fillId="2" borderId="4" xfId="25" applyNumberFormat="1" applyFont="1" applyFill="1" applyBorder="1" applyAlignment="1">
      <alignment horizontal="center" vertical="center"/>
    </xf>
    <xf numFmtId="178" fontId="3" fillId="0" borderId="0" xfId="4" applyNumberFormat="1" applyAlignment="1">
      <alignment horizontal="center" wrapText="1"/>
    </xf>
    <xf numFmtId="177" fontId="4" fillId="9" borderId="3" xfId="0" applyFont="1" applyFill="1" applyBorder="1"/>
  </cellXfs>
  <cellStyles count="28">
    <cellStyle name="Currency 2 2 2" xfId="8"/>
    <cellStyle name="Normal 1 2" xfId="20"/>
    <cellStyle name="Normal 2" xfId="4"/>
    <cellStyle name="Normal 2 18 2" xfId="1"/>
    <cellStyle name="Normal 3 2 15" xfId="19"/>
    <cellStyle name="Normal 35" xfId="6"/>
    <cellStyle name="Normal 52" xfId="17"/>
    <cellStyle name="Normal_West End Quote Sheet for Fred Meyer20090804-Hellen" xfId="27"/>
    <cellStyle name="Percent 17" xfId="18"/>
    <cellStyle name="Percent 2" xfId="5"/>
    <cellStyle name="Percent 2 2 2" xfId="7"/>
    <cellStyle name="Style 1" xfId="3"/>
    <cellStyle name="百分比 2" xfId="11"/>
    <cellStyle name="百分比 2 2" xfId="13"/>
    <cellStyle name="百分比 3" xfId="22"/>
    <cellStyle name="百分比 5" xfId="15"/>
    <cellStyle name="常规" xfId="0" builtinId="0"/>
    <cellStyle name="常规 18" xfId="12"/>
    <cellStyle name="常规 2" xfId="10"/>
    <cellStyle name="常规 23" xfId="26"/>
    <cellStyle name="常规 3" xfId="23"/>
    <cellStyle name="货币" xfId="25" builtinId="4"/>
    <cellStyle name="货币 2" xfId="21"/>
    <cellStyle name="货币 3" xfId="24"/>
    <cellStyle name="千位分隔 4" xfId="14"/>
    <cellStyle name="样式 1 2" xfId="2"/>
    <cellStyle name="样式 1 2 2" xfId="16"/>
    <cellStyle name="样式 1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8041;&#22806;&#32452;\Users\rya00039\AppData\Local\Microsoft\Windows\Temporary%20Internet%20Files\Content.Outlook\SNCPC6UK\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4"/>
  <sheetViews>
    <sheetView tabSelected="1" zoomScaleNormal="100" workbookViewId="0">
      <selection activeCell="P2" sqref="P2:P4"/>
    </sheetView>
  </sheetViews>
  <sheetFormatPr defaultColWidth="9.140625" defaultRowHeight="15"/>
  <cols>
    <col min="1" max="1" width="10.140625" style="36" customWidth="1"/>
    <col min="2" max="2" width="10" style="20" customWidth="1"/>
    <col min="3" max="3" width="12.42578125" style="20" customWidth="1"/>
    <col min="4" max="4" width="16.5703125" style="20" customWidth="1"/>
    <col min="5" max="5" width="9.140625" style="20" customWidth="1"/>
    <col min="6" max="6" width="15.5703125" style="20" customWidth="1"/>
    <col min="7" max="7" width="9.140625" style="20" customWidth="1"/>
    <col min="8" max="8" width="19.42578125" style="20" customWidth="1"/>
    <col min="9" max="9" width="21" style="20" customWidth="1"/>
    <col min="10" max="10" width="11.140625" style="20" customWidth="1"/>
    <col min="11" max="11" width="12.42578125" style="20" customWidth="1"/>
    <col min="12" max="12" width="23.42578125" style="20" customWidth="1"/>
    <col min="13" max="13" width="6.85546875" style="20" customWidth="1"/>
    <col min="14" max="14" width="8.85546875" style="20" customWidth="1"/>
    <col min="15" max="15" width="17.85546875" style="20" customWidth="1"/>
    <col min="16" max="16" width="18.5703125" style="20" customWidth="1"/>
    <col min="17" max="17" width="8.85546875" style="20" customWidth="1"/>
    <col min="18" max="18" width="9.42578125" style="20" customWidth="1"/>
    <col min="19" max="19" width="11.7109375" style="20" customWidth="1"/>
    <col min="20" max="20" width="8.140625" style="20" customWidth="1"/>
    <col min="21" max="22" width="8.7109375" style="20" customWidth="1"/>
    <col min="23" max="23" width="12.42578125" style="20" customWidth="1"/>
    <col min="24" max="24" width="9.85546875" style="20" customWidth="1"/>
    <col min="25" max="25" width="9" style="20" customWidth="1"/>
    <col min="26" max="26" width="6.28515625" style="20" customWidth="1"/>
    <col min="27" max="27" width="11.42578125" style="20" customWidth="1"/>
    <col min="28" max="28" width="9.85546875" style="20" customWidth="1"/>
    <col min="29" max="29" width="7.85546875" style="20" customWidth="1"/>
    <col min="30" max="32" width="9" style="20" customWidth="1"/>
    <col min="33" max="33" width="10" style="20" customWidth="1"/>
    <col min="34" max="34" width="9" style="20" customWidth="1"/>
    <col min="35" max="35" width="14.140625" style="20" customWidth="1"/>
    <col min="36" max="36" width="8.42578125" style="20" customWidth="1"/>
    <col min="37" max="37" width="10.7109375" style="20" customWidth="1"/>
    <col min="38" max="38" width="11.28515625" style="20" customWidth="1"/>
    <col min="39" max="39" width="11.5703125" style="20" customWidth="1"/>
    <col min="40" max="40" width="8.28515625" style="20" customWidth="1"/>
    <col min="41" max="41" width="11.5703125" style="20" customWidth="1"/>
    <col min="42" max="42" width="10.85546875" style="20" customWidth="1"/>
    <col min="43" max="43" width="8.140625" style="20" customWidth="1"/>
    <col min="44" max="44" width="9.140625" style="20" customWidth="1"/>
    <col min="45" max="45" width="8.140625" style="20" customWidth="1"/>
    <col min="46" max="46" width="9.28515625" style="20" customWidth="1"/>
    <col min="47" max="47" width="6.85546875" style="20" customWidth="1"/>
    <col min="48" max="48" width="9.140625" style="20" customWidth="1"/>
    <col min="49" max="49" width="7.42578125" style="20" customWidth="1"/>
    <col min="50" max="50" width="7.7109375" style="20" customWidth="1"/>
    <col min="51" max="51" width="11.42578125" style="20" customWidth="1"/>
    <col min="52" max="52" width="11.85546875" style="20" customWidth="1"/>
    <col min="53" max="53" width="11.28515625" style="20" customWidth="1"/>
    <col min="54" max="54" width="9.85546875" style="20" customWidth="1"/>
    <col min="55" max="55" width="15" style="20" customWidth="1"/>
    <col min="56" max="56" width="10.140625" style="20" customWidth="1"/>
    <col min="57" max="57" width="8.85546875" style="20" customWidth="1"/>
    <col min="58" max="58" width="10.85546875" style="20" customWidth="1"/>
    <col min="59" max="59" width="8.140625" style="20" customWidth="1"/>
    <col min="60" max="60" width="10.42578125" style="20" customWidth="1"/>
    <col min="61" max="61" width="12.42578125" style="20" customWidth="1"/>
    <col min="62" max="62" width="10.42578125" style="20" customWidth="1"/>
    <col min="63" max="63" width="9.5703125" style="20" customWidth="1"/>
    <col min="64" max="65" width="13.42578125" style="20" customWidth="1"/>
    <col min="66" max="66" width="9.140625" style="20"/>
    <col min="67" max="68" width="10.28515625" style="20" bestFit="1" customWidth="1"/>
    <col min="69" max="16384" width="9.140625" style="20"/>
  </cols>
  <sheetData>
    <row r="1" spans="1:68" ht="57.95" customHeight="1">
      <c r="A1" s="1" t="s">
        <v>6</v>
      </c>
      <c r="B1" s="1" t="s">
        <v>7</v>
      </c>
      <c r="C1" s="2" t="s">
        <v>8</v>
      </c>
      <c r="D1" s="3" t="s">
        <v>0</v>
      </c>
      <c r="E1" s="3" t="s">
        <v>2</v>
      </c>
      <c r="F1" s="4" t="s">
        <v>9</v>
      </c>
      <c r="G1" s="2" t="s">
        <v>10</v>
      </c>
      <c r="H1" s="5" t="s">
        <v>11</v>
      </c>
      <c r="I1" s="5" t="s">
        <v>12</v>
      </c>
      <c r="J1" s="5" t="s">
        <v>13</v>
      </c>
      <c r="K1" s="6" t="s">
        <v>44</v>
      </c>
      <c r="L1" s="5" t="s">
        <v>14</v>
      </c>
      <c r="M1" s="5" t="s">
        <v>15</v>
      </c>
      <c r="N1" s="2" t="s">
        <v>43</v>
      </c>
      <c r="O1" s="2" t="s">
        <v>16</v>
      </c>
      <c r="P1" s="2" t="s">
        <v>17</v>
      </c>
      <c r="Q1" s="2" t="s">
        <v>41</v>
      </c>
      <c r="R1" s="5" t="s">
        <v>18</v>
      </c>
      <c r="S1" s="1" t="s">
        <v>38</v>
      </c>
      <c r="T1" s="7" t="s">
        <v>40</v>
      </c>
      <c r="U1" s="8" t="s">
        <v>77</v>
      </c>
      <c r="V1" s="7" t="s">
        <v>46</v>
      </c>
      <c r="W1" s="9" t="s">
        <v>45</v>
      </c>
      <c r="X1" s="10" t="s">
        <v>1</v>
      </c>
      <c r="Y1" s="1" t="s">
        <v>19</v>
      </c>
      <c r="Z1" s="1" t="s">
        <v>20</v>
      </c>
      <c r="AA1" s="1" t="s">
        <v>21</v>
      </c>
      <c r="AB1" s="1" t="s">
        <v>22</v>
      </c>
      <c r="AC1" s="11" t="s">
        <v>23</v>
      </c>
      <c r="AD1" s="1" t="s">
        <v>47</v>
      </c>
      <c r="AE1" s="1" t="s">
        <v>48</v>
      </c>
      <c r="AF1" s="1" t="s">
        <v>49</v>
      </c>
      <c r="AG1" s="1" t="s">
        <v>50</v>
      </c>
      <c r="AH1" s="12" t="s">
        <v>24</v>
      </c>
      <c r="AI1" s="11" t="s">
        <v>25</v>
      </c>
      <c r="AJ1" s="1" t="s">
        <v>26</v>
      </c>
      <c r="AK1" s="11" t="s">
        <v>27</v>
      </c>
      <c r="AL1" s="1" t="s">
        <v>28</v>
      </c>
      <c r="AM1" s="1" t="s">
        <v>29</v>
      </c>
      <c r="AN1" s="13" t="s">
        <v>30</v>
      </c>
      <c r="AO1" s="11" t="s">
        <v>31</v>
      </c>
      <c r="AP1" s="1" t="s">
        <v>32</v>
      </c>
      <c r="AQ1" s="11" t="s">
        <v>33</v>
      </c>
      <c r="AR1" s="1" t="s">
        <v>34</v>
      </c>
      <c r="AS1" s="11" t="s">
        <v>35</v>
      </c>
      <c r="AT1" s="1" t="s">
        <v>55</v>
      </c>
      <c r="AU1" s="11" t="s">
        <v>54</v>
      </c>
      <c r="AV1" s="12" t="s">
        <v>51</v>
      </c>
      <c r="AW1" s="1" t="s">
        <v>52</v>
      </c>
      <c r="AX1" s="11" t="s">
        <v>53</v>
      </c>
      <c r="AY1" s="11" t="s">
        <v>36</v>
      </c>
      <c r="AZ1" s="14" t="s">
        <v>37</v>
      </c>
      <c r="BA1" s="14" t="s">
        <v>42</v>
      </c>
      <c r="BB1" s="14" t="s">
        <v>56</v>
      </c>
      <c r="BC1" s="15" t="s">
        <v>58</v>
      </c>
      <c r="BD1" s="11" t="s">
        <v>59</v>
      </c>
      <c r="BE1" s="16" t="s">
        <v>60</v>
      </c>
      <c r="BF1" s="14" t="s">
        <v>61</v>
      </c>
      <c r="BG1" s="14" t="s">
        <v>62</v>
      </c>
      <c r="BH1" s="17" t="s">
        <v>57</v>
      </c>
      <c r="BI1" s="18" t="s">
        <v>63</v>
      </c>
      <c r="BJ1" s="19" t="s">
        <v>65</v>
      </c>
      <c r="BK1" s="18" t="s">
        <v>64</v>
      </c>
      <c r="BL1" s="19" t="s">
        <v>67</v>
      </c>
      <c r="BM1" s="19" t="s">
        <v>66</v>
      </c>
    </row>
    <row r="2" spans="1:68" s="34" customFormat="1">
      <c r="A2" s="21">
        <v>10</v>
      </c>
      <c r="B2" s="22"/>
      <c r="C2" s="22"/>
      <c r="D2" s="22" t="s">
        <v>4</v>
      </c>
      <c r="E2" s="22"/>
      <c r="F2" s="22" t="s">
        <v>39</v>
      </c>
      <c r="G2" s="22" t="s">
        <v>71</v>
      </c>
      <c r="H2" s="22" t="s">
        <v>72</v>
      </c>
      <c r="I2" s="22" t="s">
        <v>68</v>
      </c>
      <c r="J2" s="21" t="s">
        <v>76</v>
      </c>
      <c r="K2" s="23" t="s">
        <v>73</v>
      </c>
      <c r="L2" s="24" t="s">
        <v>78</v>
      </c>
      <c r="M2" s="22" t="s">
        <v>74</v>
      </c>
      <c r="N2" s="23"/>
      <c r="O2" s="25" t="s">
        <v>79</v>
      </c>
      <c r="P2" s="37" t="s">
        <v>82</v>
      </c>
      <c r="Q2" s="22"/>
      <c r="R2" s="22" t="s">
        <v>5</v>
      </c>
      <c r="S2" s="24">
        <v>48</v>
      </c>
      <c r="T2" s="26">
        <v>32.08</v>
      </c>
      <c r="U2" s="27">
        <f>IF(V2="","",W2*V2)</f>
        <v>259.85000000000002</v>
      </c>
      <c r="V2" s="28">
        <v>8.1</v>
      </c>
      <c r="W2" s="26">
        <v>32.08</v>
      </c>
      <c r="X2" s="22" t="s">
        <v>3</v>
      </c>
      <c r="Y2" s="29">
        <v>39</v>
      </c>
      <c r="Z2" s="29">
        <v>34</v>
      </c>
      <c r="AA2" s="29">
        <v>46</v>
      </c>
      <c r="AB2" s="29">
        <v>3</v>
      </c>
      <c r="AC2" s="30">
        <f t="shared" ref="AC2" si="0">IF(Y2="","",Y2*Z2*AA2/1000000)</f>
        <v>0.06</v>
      </c>
      <c r="AD2" s="31">
        <v>13</v>
      </c>
      <c r="AE2" s="31">
        <v>11</v>
      </c>
      <c r="AF2" s="31">
        <v>5</v>
      </c>
      <c r="AG2" s="22">
        <v>6.7</v>
      </c>
      <c r="AH2" s="22">
        <v>65</v>
      </c>
      <c r="AI2" s="30">
        <f t="shared" ref="AI2" si="1">IF(AB2="","",AH2/AC2*AB2)</f>
        <v>3250</v>
      </c>
      <c r="AJ2" s="22">
        <v>4050</v>
      </c>
      <c r="AK2" s="30">
        <f t="shared" ref="AK2" si="2">IF(ISERROR(AJ2/AI2),"",AJ2/AI2)</f>
        <v>1.25</v>
      </c>
      <c r="AL2" s="22" t="s">
        <v>69</v>
      </c>
      <c r="AM2" s="22">
        <f t="shared" ref="AM2:AM4" si="3">6.7%+25%+25%</f>
        <v>0.56999999999999995</v>
      </c>
      <c r="AN2" s="30">
        <f t="shared" ref="AN2" si="4">IF(ISERROR(W2*AM2),"",W2*AM2)</f>
        <v>18.29</v>
      </c>
      <c r="AO2" s="30">
        <f t="shared" ref="AO2" si="5">IF(ISERROR(W2+AK2+AN2),"",W2+AK2+AN2)</f>
        <v>51.62</v>
      </c>
      <c r="AP2" s="22">
        <v>0.1</v>
      </c>
      <c r="AQ2" s="30">
        <f t="shared" ref="AQ2" si="6">IF(ISERROR(BB2*AP2),"",BB2*AP2)</f>
        <v>13.5</v>
      </c>
      <c r="AR2" s="22">
        <v>0.15</v>
      </c>
      <c r="AS2" s="30">
        <f t="shared" ref="AS2" si="7">IF(ISERROR(BB2*AR2),"",BB2*AR2)</f>
        <v>20.25</v>
      </c>
      <c r="AT2" s="22">
        <v>0.1</v>
      </c>
      <c r="AU2" s="30">
        <f t="shared" ref="AU2" si="8">IF(ISERROR(BB2*AT2),"",BB2*AT2)</f>
        <v>13.5</v>
      </c>
      <c r="AV2" s="22"/>
      <c r="AW2" s="22">
        <v>0</v>
      </c>
      <c r="AX2" s="30">
        <f t="shared" ref="AX2" si="9">IF(ISERROR(BB2*AW2),"",BB2*AW2)</f>
        <v>0</v>
      </c>
      <c r="AY2" s="30">
        <f t="shared" ref="AY2" si="10">IF(ISERROR(AQ2+AS2+AU2+AX2),"",AQ2+AS2+AU2+AX2)</f>
        <v>47.25</v>
      </c>
      <c r="AZ2" s="30">
        <f t="shared" ref="AZ2" si="11">IF(ISERROR(AO2+AY2),"",AO2+AY2)</f>
        <v>98.87</v>
      </c>
      <c r="BA2" s="32">
        <f t="shared" ref="BA2" si="12">IF(ISERROR((BB2-AZ2)/BB2),"",(BB2-AZ2)/BB2)</f>
        <v>0.27</v>
      </c>
      <c r="BB2" s="24">
        <f t="shared" ref="BB2" si="13">IF(BH2="","",BH2*(1-50%))</f>
        <v>135</v>
      </c>
      <c r="BC2" s="23">
        <v>0.3</v>
      </c>
      <c r="BD2" s="30">
        <f t="shared" ref="BD2" si="14">IF(BC2="","",BH2*BC2)</f>
        <v>81</v>
      </c>
      <c r="BE2" s="23">
        <v>15</v>
      </c>
      <c r="BF2" s="30">
        <f t="shared" ref="BF2" si="15">IF(ISERROR(AZ2+BD2+BE2),"",AZ2+BD2+BE2)</f>
        <v>194.87</v>
      </c>
      <c r="BG2" s="30">
        <f t="shared" ref="BG2" si="16">IF(BH2="","",(BH2-BF2)/BH2)</f>
        <v>0.28000000000000003</v>
      </c>
      <c r="BH2" s="33">
        <v>269.99</v>
      </c>
      <c r="BI2" s="27">
        <f>BB2</f>
        <v>135</v>
      </c>
      <c r="BJ2" s="35">
        <f t="shared" ref="BJ2" si="17">IF(BK2="","",CEILING(BK2/0.9 - 0.01, 10) - 0.01)</f>
        <v>299.99</v>
      </c>
      <c r="BK2" s="27">
        <f>IF(BH2="","",BH2)</f>
        <v>269.99</v>
      </c>
      <c r="BL2" s="30">
        <f>IF(BI2="","",(BI2-AO2)/BI2)</f>
        <v>0.62</v>
      </c>
      <c r="BM2" s="30">
        <f t="shared" ref="BM2" si="18">IF(BJ2="","",(BJ2-BI2)/BJ2)</f>
        <v>0.55000000000000004</v>
      </c>
      <c r="BO2" s="34">
        <f>S2*W2</f>
        <v>1539.84</v>
      </c>
      <c r="BP2" s="34">
        <f>BB2*S2</f>
        <v>6480</v>
      </c>
    </row>
    <row r="3" spans="1:68" s="34" customFormat="1">
      <c r="A3" s="21">
        <v>11</v>
      </c>
      <c r="B3" s="22"/>
      <c r="C3" s="22"/>
      <c r="D3" s="22" t="s">
        <v>4</v>
      </c>
      <c r="E3" s="22"/>
      <c r="F3" s="22" t="s">
        <v>39</v>
      </c>
      <c r="G3" s="22" t="s">
        <v>71</v>
      </c>
      <c r="H3" s="22" t="s">
        <v>72</v>
      </c>
      <c r="I3" s="22" t="s">
        <v>68</v>
      </c>
      <c r="J3" s="21" t="s">
        <v>76</v>
      </c>
      <c r="K3" s="23" t="s">
        <v>73</v>
      </c>
      <c r="L3" s="24" t="s">
        <v>78</v>
      </c>
      <c r="M3" s="22" t="s">
        <v>70</v>
      </c>
      <c r="N3" s="23"/>
      <c r="O3" s="25" t="s">
        <v>80</v>
      </c>
      <c r="P3" s="37" t="s">
        <v>83</v>
      </c>
      <c r="Q3" s="22"/>
      <c r="R3" s="22" t="s">
        <v>5</v>
      </c>
      <c r="S3" s="24">
        <v>48</v>
      </c>
      <c r="T3" s="26">
        <v>32.08</v>
      </c>
      <c r="U3" s="27">
        <f t="shared" ref="U3" si="19">IF(V3="","",W3*V3)</f>
        <v>259.85000000000002</v>
      </c>
      <c r="V3" s="28">
        <v>8.1</v>
      </c>
      <c r="W3" s="26">
        <v>32.08</v>
      </c>
      <c r="X3" s="22" t="s">
        <v>3</v>
      </c>
      <c r="Y3" s="29">
        <v>39</v>
      </c>
      <c r="Z3" s="29">
        <v>34</v>
      </c>
      <c r="AA3" s="29">
        <v>46</v>
      </c>
      <c r="AB3" s="29">
        <v>3</v>
      </c>
      <c r="AC3" s="30">
        <f t="shared" ref="AC3" si="20">IF(Y3="","",Y3*Z3*AA3/1000000)</f>
        <v>0.06</v>
      </c>
      <c r="AD3" s="31">
        <v>13</v>
      </c>
      <c r="AE3" s="31">
        <v>11</v>
      </c>
      <c r="AF3" s="31">
        <v>5</v>
      </c>
      <c r="AG3" s="22">
        <v>6.7</v>
      </c>
      <c r="AH3" s="22">
        <v>65</v>
      </c>
      <c r="AI3" s="30">
        <f t="shared" ref="AI3" si="21">IF(AB3="","",AH3/AC3*AB3)</f>
        <v>3250</v>
      </c>
      <c r="AJ3" s="22">
        <v>4050</v>
      </c>
      <c r="AK3" s="30">
        <f t="shared" ref="AK3" si="22">IF(ISERROR(AJ3/AI3),"",AJ3/AI3)</f>
        <v>1.25</v>
      </c>
      <c r="AL3" s="22" t="s">
        <v>69</v>
      </c>
      <c r="AM3" s="22">
        <f t="shared" si="3"/>
        <v>0.56999999999999995</v>
      </c>
      <c r="AN3" s="30">
        <f t="shared" ref="AN3" si="23">IF(ISERROR(W3*AM3),"",W3*AM3)</f>
        <v>18.29</v>
      </c>
      <c r="AO3" s="30">
        <f t="shared" ref="AO3" si="24">IF(ISERROR(W3+AK3+AN3),"",W3+AK3+AN3)</f>
        <v>51.62</v>
      </c>
      <c r="AP3" s="22">
        <v>0.1</v>
      </c>
      <c r="AQ3" s="30">
        <f t="shared" ref="AQ3" si="25">IF(ISERROR(BB3*AP3),"",BB3*AP3)</f>
        <v>13.5</v>
      </c>
      <c r="AR3" s="22">
        <v>0.15</v>
      </c>
      <c r="AS3" s="30">
        <f t="shared" ref="AS3" si="26">IF(ISERROR(BB3*AR3),"",BB3*AR3)</f>
        <v>20.25</v>
      </c>
      <c r="AT3" s="22">
        <v>0.1</v>
      </c>
      <c r="AU3" s="30">
        <f t="shared" ref="AU3" si="27">IF(ISERROR(BB3*AT3),"",BB3*AT3)</f>
        <v>13.5</v>
      </c>
      <c r="AV3" s="22"/>
      <c r="AW3" s="22">
        <v>0</v>
      </c>
      <c r="AX3" s="30">
        <f t="shared" ref="AX3" si="28">IF(ISERROR(BB3*AW3),"",BB3*AW3)</f>
        <v>0</v>
      </c>
      <c r="AY3" s="30">
        <f t="shared" ref="AY3" si="29">IF(ISERROR(AQ3+AS3+AU3+AX3),"",AQ3+AS3+AU3+AX3)</f>
        <v>47.25</v>
      </c>
      <c r="AZ3" s="30">
        <f t="shared" ref="AZ3" si="30">IF(ISERROR(AO3+AY3),"",AO3+AY3)</f>
        <v>98.87</v>
      </c>
      <c r="BA3" s="32">
        <f t="shared" ref="BA3" si="31">IF(ISERROR((BB3-AZ3)/BB3),"",(BB3-AZ3)/BB3)</f>
        <v>0.27</v>
      </c>
      <c r="BB3" s="24">
        <f t="shared" ref="BB3:BB4" si="32">IF(BH3="","",BH3*(1-50%))</f>
        <v>135</v>
      </c>
      <c r="BC3" s="23">
        <v>0.3</v>
      </c>
      <c r="BD3" s="30">
        <f t="shared" ref="BD3" si="33">IF(BC3="","",BH3*BC3)</f>
        <v>81</v>
      </c>
      <c r="BE3" s="23">
        <v>15</v>
      </c>
      <c r="BF3" s="30">
        <f t="shared" ref="BF3" si="34">IF(ISERROR(AZ3+BD3+BE3),"",AZ3+BD3+BE3)</f>
        <v>194.87</v>
      </c>
      <c r="BG3" s="30">
        <f t="shared" ref="BG3" si="35">IF(BH3="","",(BH3-BF3)/BH3)</f>
        <v>0.28000000000000003</v>
      </c>
      <c r="BH3" s="33">
        <v>269.99</v>
      </c>
      <c r="BI3" s="27">
        <f>BB3</f>
        <v>135</v>
      </c>
      <c r="BJ3" s="35">
        <f t="shared" ref="BJ3" si="36">IF(BK3="","",CEILING(BK3/0.9 - 0.01, 10) - 0.01)</f>
        <v>299.99</v>
      </c>
      <c r="BK3" s="27">
        <f>IF(BH3="","",BH3)</f>
        <v>269.99</v>
      </c>
      <c r="BL3" s="30">
        <f>IF(BI3="","",(BI3-AO3)/BI3)</f>
        <v>0.62</v>
      </c>
      <c r="BM3" s="30">
        <f t="shared" ref="BM3" si="37">IF(BJ3="","",(BJ3-BI3)/BJ3)</f>
        <v>0.55000000000000004</v>
      </c>
      <c r="BO3" s="34">
        <f>S3*W3</f>
        <v>1539.84</v>
      </c>
      <c r="BP3" s="34">
        <f>BB3*S3</f>
        <v>6480</v>
      </c>
    </row>
    <row r="4" spans="1:68" s="34" customFormat="1">
      <c r="A4" s="21">
        <v>12</v>
      </c>
      <c r="B4" s="22"/>
      <c r="C4" s="22"/>
      <c r="D4" s="22" t="s">
        <v>4</v>
      </c>
      <c r="E4" s="22"/>
      <c r="F4" s="22" t="s">
        <v>39</v>
      </c>
      <c r="G4" s="22" t="s">
        <v>71</v>
      </c>
      <c r="H4" s="22" t="s">
        <v>72</v>
      </c>
      <c r="I4" s="22" t="s">
        <v>68</v>
      </c>
      <c r="J4" s="21" t="s">
        <v>76</v>
      </c>
      <c r="K4" s="23" t="s">
        <v>73</v>
      </c>
      <c r="L4" s="24" t="s">
        <v>78</v>
      </c>
      <c r="M4" s="22" t="s">
        <v>75</v>
      </c>
      <c r="N4" s="23"/>
      <c r="O4" s="25" t="s">
        <v>81</v>
      </c>
      <c r="P4" s="37" t="s">
        <v>84</v>
      </c>
      <c r="Q4" s="22"/>
      <c r="R4" s="22" t="s">
        <v>5</v>
      </c>
      <c r="S4" s="24">
        <v>48</v>
      </c>
      <c r="T4" s="26">
        <v>32.08</v>
      </c>
      <c r="U4" s="27">
        <f t="shared" ref="U4" si="38">IF(V4="","",W4*V4)</f>
        <v>259.85000000000002</v>
      </c>
      <c r="V4" s="28">
        <v>8.1</v>
      </c>
      <c r="W4" s="26">
        <v>32.08</v>
      </c>
      <c r="X4" s="22" t="s">
        <v>3</v>
      </c>
      <c r="Y4" s="29">
        <v>39</v>
      </c>
      <c r="Z4" s="29">
        <v>34</v>
      </c>
      <c r="AA4" s="29">
        <v>46</v>
      </c>
      <c r="AB4" s="29">
        <v>3</v>
      </c>
      <c r="AC4" s="30">
        <f t="shared" ref="AC4" si="39">IF(Y4="","",Y4*Z4*AA4/1000000)</f>
        <v>0.06</v>
      </c>
      <c r="AD4" s="31">
        <v>13</v>
      </c>
      <c r="AE4" s="31">
        <v>11</v>
      </c>
      <c r="AF4" s="31">
        <v>5</v>
      </c>
      <c r="AG4" s="22">
        <v>6.7</v>
      </c>
      <c r="AH4" s="22">
        <v>65</v>
      </c>
      <c r="AI4" s="30">
        <f t="shared" ref="AI4" si="40">IF(AB4="","",AH4/AC4*AB4)</f>
        <v>3250</v>
      </c>
      <c r="AJ4" s="22">
        <v>4050</v>
      </c>
      <c r="AK4" s="30">
        <f t="shared" ref="AK4" si="41">IF(ISERROR(AJ4/AI4),"",AJ4/AI4)</f>
        <v>1.25</v>
      </c>
      <c r="AL4" s="22" t="s">
        <v>69</v>
      </c>
      <c r="AM4" s="22">
        <f t="shared" si="3"/>
        <v>0.56999999999999995</v>
      </c>
      <c r="AN4" s="30">
        <f t="shared" ref="AN4" si="42">IF(ISERROR(W4*AM4),"",W4*AM4)</f>
        <v>18.29</v>
      </c>
      <c r="AO4" s="30">
        <f t="shared" ref="AO4" si="43">IF(ISERROR(W4+AK4+AN4),"",W4+AK4+AN4)</f>
        <v>51.62</v>
      </c>
      <c r="AP4" s="22">
        <v>0.1</v>
      </c>
      <c r="AQ4" s="30">
        <f t="shared" ref="AQ4" si="44">IF(ISERROR(BB4*AP4),"",BB4*AP4)</f>
        <v>13.5</v>
      </c>
      <c r="AR4" s="22">
        <v>0.15</v>
      </c>
      <c r="AS4" s="30">
        <f t="shared" ref="AS4" si="45">IF(ISERROR(BB4*AR4),"",BB4*AR4)</f>
        <v>20.25</v>
      </c>
      <c r="AT4" s="22">
        <v>0.1</v>
      </c>
      <c r="AU4" s="30">
        <f t="shared" ref="AU4" si="46">IF(ISERROR(BB4*AT4),"",BB4*AT4)</f>
        <v>13.5</v>
      </c>
      <c r="AV4" s="22"/>
      <c r="AW4" s="22">
        <v>0</v>
      </c>
      <c r="AX4" s="30">
        <f t="shared" ref="AX4" si="47">IF(ISERROR(BB4*AW4),"",BB4*AW4)</f>
        <v>0</v>
      </c>
      <c r="AY4" s="30">
        <f t="shared" ref="AY4" si="48">IF(ISERROR(AQ4+AS4+AU4+AX4),"",AQ4+AS4+AU4+AX4)</f>
        <v>47.25</v>
      </c>
      <c r="AZ4" s="30">
        <f t="shared" ref="AZ4" si="49">IF(ISERROR(AO4+AY4),"",AO4+AY4)</f>
        <v>98.87</v>
      </c>
      <c r="BA4" s="32">
        <f t="shared" ref="BA4" si="50">IF(ISERROR((BB4-AZ4)/BB4),"",(BB4-AZ4)/BB4)</f>
        <v>0.27</v>
      </c>
      <c r="BB4" s="24">
        <f t="shared" si="32"/>
        <v>135</v>
      </c>
      <c r="BC4" s="23">
        <v>0.3</v>
      </c>
      <c r="BD4" s="30">
        <f t="shared" ref="BD4" si="51">IF(BC4="","",BH4*BC4)</f>
        <v>81</v>
      </c>
      <c r="BE4" s="23">
        <v>15</v>
      </c>
      <c r="BF4" s="30">
        <f t="shared" ref="BF4" si="52">IF(ISERROR(AZ4+BD4+BE4),"",AZ4+BD4+BE4)</f>
        <v>194.87</v>
      </c>
      <c r="BG4" s="30">
        <f t="shared" ref="BG4" si="53">IF(BH4="","",(BH4-BF4)/BH4)</f>
        <v>0.28000000000000003</v>
      </c>
      <c r="BH4" s="33">
        <v>269.99</v>
      </c>
      <c r="BI4" s="27">
        <f>BB4</f>
        <v>135</v>
      </c>
      <c r="BJ4" s="35">
        <f t="shared" ref="BJ4" si="54">IF(BK4="","",CEILING(BK4/0.9 - 0.01, 10) - 0.01)</f>
        <v>299.99</v>
      </c>
      <c r="BK4" s="27">
        <f>IF(BH4="","",BH4)</f>
        <v>269.99</v>
      </c>
      <c r="BL4" s="30">
        <f>IF(BI4="","",(BI4-AO4)/BI4)</f>
        <v>0.62</v>
      </c>
      <c r="BM4" s="30">
        <f t="shared" ref="BM4" si="55">IF(BJ4="","",(BJ4-BI4)/BJ4)</f>
        <v>0.55000000000000004</v>
      </c>
      <c r="BO4" s="34">
        <f t="shared" ref="BO4" si="56">S4*W4</f>
        <v>1539.84</v>
      </c>
      <c r="BP4" s="34">
        <f t="shared" ref="BP4" si="57">BB4*S4</f>
        <v>6480</v>
      </c>
    </row>
  </sheetData>
  <sheetProtection insertRows="0" deleteRows="0" sort="0"/>
  <protectedRanges>
    <protectedRange sqref="A6:B88 D6:E88 V4 T5:AY87 X4 L4:N4 F5:R87 Q4:R4 A4:J4 BG4 C5:C87 AK4 AC4 AH4:AI4 AN4:BE4 AN3:BE3 AH3:AI3 AC3 AK3 BG3 A3:J3 Q3:R3 L3:N3 X3 V3 V2 X2 L2:N2 Q2:R2 A2:J2 BG2 AK2 AC2 AH2:AI2 AN2:BE2" name="Range1"/>
    <protectedRange sqref="AG2:AG4" name="Range1_2"/>
    <protectedRange sqref="AJ2:AJ4" name="Range1_3"/>
    <protectedRange sqref="AL2:AM4" name="Range1_4"/>
    <protectedRange sqref="K2:K4" name="Range1_1"/>
    <protectedRange sqref="U2:U4" name="Range1_5"/>
    <protectedRange sqref="P2" name="Range1_6"/>
    <protectedRange sqref="P3" name="Range1_7"/>
    <protectedRange sqref="P4" name="Range1_8"/>
  </protectedRanges>
  <phoneticPr fontId="11" type="noConversion"/>
  <dataValidations count="5">
    <dataValidation type="list" allowBlank="1" showInputMessage="1" showErrorMessage="1" sqref="D2:D4">
      <formula1>#REF!</formula1>
    </dataValidation>
    <dataValidation type="list" allowBlank="1" showInputMessage="1" showErrorMessage="1" sqref="E2:E4">
      <formula1>#REF!</formula1>
    </dataValidation>
    <dataValidation type="list" allowBlank="1" showInputMessage="1" showErrorMessage="1" sqref="R2:R4">
      <formula1>#REF!</formula1>
    </dataValidation>
    <dataValidation type="list" allowBlank="1" showInputMessage="1" showErrorMessage="1" sqref="X2:X4">
      <formula1>#REF!</formula1>
    </dataValidation>
    <dataValidation type="list" allowBlank="1" showInputMessage="1" showErrorMessage="1" sqref="F2:F4">
      <formula1>#REF!</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高丽</cp:lastModifiedBy>
  <dcterms:created xsi:type="dcterms:W3CDTF">2025-03-10T18:28:45Z</dcterms:created>
  <dcterms:modified xsi:type="dcterms:W3CDTF">2025-12-09T04:19:29Z</dcterms:modified>
</cp:coreProperties>
</file>