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4" i="5"/>
  <c r="BB5" i="5"/>
  <c r="BB2" i="5"/>
  <c r="BD5" i="5" l="1"/>
  <c r="BR5" i="5"/>
  <c r="AM5" i="5"/>
  <c r="AC5" i="5"/>
  <c r="AI5" i="5" s="1"/>
  <c r="AK5" i="5" s="1"/>
  <c r="W5" i="5"/>
  <c r="BD4" i="5"/>
  <c r="AX4" i="5"/>
  <c r="AM4" i="5"/>
  <c r="AC4" i="5"/>
  <c r="AI4" i="5" s="1"/>
  <c r="AK4" i="5" s="1"/>
  <c r="W4" i="5"/>
  <c r="BQ4" i="5" s="1"/>
  <c r="AN5" i="5" l="1"/>
  <c r="AO5" i="5" s="1"/>
  <c r="AS5" i="5"/>
  <c r="AQ5" i="5"/>
  <c r="AU5" i="5"/>
  <c r="AX5" i="5"/>
  <c r="BR4" i="5"/>
  <c r="BQ5" i="5"/>
  <c r="AN4" i="5"/>
  <c r="AO4" i="5" s="1"/>
  <c r="AQ4" i="5"/>
  <c r="AU4" i="5"/>
  <c r="AS4" i="5"/>
  <c r="BR3" i="5"/>
  <c r="BD3" i="5"/>
  <c r="AX3" i="5"/>
  <c r="AS3" i="5"/>
  <c r="AM3" i="5"/>
  <c r="AC3" i="5"/>
  <c r="AI3" i="5" s="1"/>
  <c r="AK3" i="5" s="1"/>
  <c r="W3" i="5"/>
  <c r="BR2" i="5"/>
  <c r="AM2" i="5"/>
  <c r="BM3" i="5"/>
  <c r="BL3" i="5" s="1"/>
  <c r="BM4" i="5"/>
  <c r="BL4" i="5" s="1"/>
  <c r="BM5" i="5"/>
  <c r="BL5" i="5" s="1"/>
  <c r="BM2" i="5"/>
  <c r="BL2" i="5" s="1"/>
  <c r="BD2" i="5"/>
  <c r="W2" i="5"/>
  <c r="AN2" i="5" l="1"/>
  <c r="AN3" i="5"/>
  <c r="AY5" i="5"/>
  <c r="AZ5" i="5" s="1"/>
  <c r="BK2" i="5"/>
  <c r="BO2" i="5" s="1"/>
  <c r="AU3" i="5"/>
  <c r="BQ3" i="5"/>
  <c r="BQ2" i="5"/>
  <c r="AY4" i="5"/>
  <c r="AZ4" i="5" s="1"/>
  <c r="AQ3" i="5"/>
  <c r="AY3" i="5" s="1"/>
  <c r="AO3" i="5"/>
  <c r="BK4" i="5"/>
  <c r="BN4" i="5" s="1"/>
  <c r="BK5" i="5"/>
  <c r="BN5" i="5" s="1"/>
  <c r="BK3" i="5"/>
  <c r="BF5" i="5" l="1"/>
  <c r="BG5" i="5" s="1"/>
  <c r="BA5" i="5"/>
  <c r="AZ3" i="5"/>
  <c r="BF3" i="5" s="1"/>
  <c r="BG3" i="5" s="1"/>
  <c r="BF4" i="5"/>
  <c r="BG4" i="5" s="1"/>
  <c r="BA4" i="5"/>
  <c r="BO4" i="5"/>
  <c r="BO5" i="5"/>
  <c r="BN3" i="5"/>
  <c r="BO3" i="5"/>
  <c r="BA3" i="5" l="1"/>
  <c r="AC2" i="5"/>
  <c r="AI2" i="5" s="1"/>
  <c r="AK2" i="5" s="1"/>
  <c r="AO2" i="5" s="1"/>
  <c r="BN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K1" authorId="0" shapeId="0">
      <text>
        <r>
          <rPr>
            <sz val="11"/>
            <rFont val="Calibri"/>
            <family val="2"/>
          </rPr>
          <t>=[Standard Price]</t>
        </r>
      </text>
    </comment>
    <comment ref="BL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M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O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<sst xmlns="http://schemas.openxmlformats.org/spreadsheetml/2006/main" count="122" uniqueCount="88">
  <si>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</si>
  <si>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</si>
  <si>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</si>
  <si>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</si>
  <si>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</si>
  <si>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</si>
  <si>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</si>
  <si>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</si>
  <si>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</si>
  <si>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</si>
  <si>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</si>
  <si>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</si>
  <si>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</si>
  <si>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</si>
  <si>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</si>
  <si>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</si>
  <si>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</si>
  <si>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</si>
  <si>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</si>
  <si>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</si>
  <si>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</si>
  <si>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</si>
  <si>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</si>
  <si>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</si>
  <si>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</si>
  <si>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</si>
  <si>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</si>
  <si>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</si>
  <si>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</si>
  <si>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</si>
  <si>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</si>
  <si>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</si>
  <si>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</si>
  <si>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</si>
  <si>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</si>
  <si>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</si>
  <si>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</si>
  <si>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</si>
  <si>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</si>
  <si>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</si>
  <si>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</si>
  <si>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</si>
  <si>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</si>
  <si>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</si>
  <si>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</si>
  <si>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</si>
  <si>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</si>
  <si>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</si>
  <si>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</si>
  <si>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</si>
  <si>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</si>
  <si>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</si>
  <si>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</si>
  <si>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</si>
  <si>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</si>
  <si>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</si>
  <si>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</si>
  <si>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</si>
  <si>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</si>
  <si>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</si>
  <si>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</si>
  <si>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</si>
  <si>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</si>
  <si>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</si>
  <si>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</si>
  <si>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</si>
  <si>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</si>
  <si>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</si>
  <si>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 xml:space="preserve">Catalina </t>
    <phoneticPr fontId="11" type="noConversion"/>
  </si>
  <si>
    <t>Cotton Gauze</t>
    <phoneticPr fontId="11" type="noConversion"/>
  </si>
  <si>
    <t>Full/Queen:92"x 92"/20"x26”(2)</t>
    <phoneticPr fontId="11" type="noConversion"/>
  </si>
  <si>
    <t>9404.40.9005</t>
    <phoneticPr fontId="11" type="noConversion"/>
  </si>
  <si>
    <t>King:108"x 92"/20"x36”(2)</t>
    <phoneticPr fontId="11" type="noConversion"/>
  </si>
  <si>
    <t>Navy/White</t>
    <phoneticPr fontId="11" type="noConversion"/>
  </si>
  <si>
    <t>Linen/White</t>
    <phoneticPr fontId="11" type="noConversion"/>
  </si>
  <si>
    <t>022164688160</t>
  </si>
  <si>
    <t>022164688177</t>
  </si>
  <si>
    <t>022164688184</t>
  </si>
  <si>
    <t>022164688191</t>
  </si>
  <si>
    <t>Fabrication</t>
    <phoneticPr fontId="11" type="noConversion"/>
  </si>
  <si>
    <t>Quilt fabric:100%cotton, 480 gsm. Knife edge on four sides, 1" self hem.
Sham front / back:100%cotton 480gsm
Shams:reversiable with hidden zipper closture
Packing:  printed box+inner shiping box+carton</t>
    <phoneticPr fontId="11" type="noConversion"/>
  </si>
  <si>
    <t>Average Retail Markup %</t>
  </si>
  <si>
    <t>Quilt Set</t>
    <phoneticPr fontId="11" type="noConversion"/>
  </si>
  <si>
    <t>Botanical quilt set</t>
    <phoneticPr fontId="11" type="noConversion"/>
  </si>
  <si>
    <t>HHD14-1990</t>
    <phoneticPr fontId="11" type="noConversion"/>
  </si>
  <si>
    <t>HHD14-1991</t>
  </si>
  <si>
    <t>HHD14-1992</t>
  </si>
  <si>
    <t>HHD14-1993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</si>
</sst>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1" formatCode="0.0"/>
    <numFmt numFmtId="182" formatCode="&quot;$&quot;#,##0.0000"/>
    <numFmt numFmtId="183" formatCode="0.000"/>
    <numFmt numFmtId="186" formatCode="\$#,##0.00;\-\$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9"/>
      <color theme="1" tint="4.9989318521683403E-2"/>
      <name val="微软雅黑"/>
      <family val="2"/>
      <charset val="134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79" fontId="0" fillId="0" borderId="0"/>
    <xf numFmtId="179" fontId="4" fillId="0" borderId="0"/>
    <xf numFmtId="179" fontId="4" fillId="0" borderId="0"/>
    <xf numFmtId="179" fontId="4" fillId="0" borderId="0"/>
    <xf numFmtId="179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179" fontId="10" fillId="0" borderId="0">
      <alignment vertical="center"/>
    </xf>
    <xf numFmtId="9" fontId="10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179" fontId="1" fillId="0" borderId="0"/>
    <xf numFmtId="9" fontId="1" fillId="0" borderId="0" applyFont="0" applyFill="0" applyBorder="0" applyAlignment="0" applyProtection="0"/>
    <xf numFmtId="179" fontId="12" fillId="0" borderId="0"/>
    <xf numFmtId="179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67">
    <xf numFmtId="179" fontId="0" fillId="0" borderId="0" xfId="0"/>
    <xf numFmtId="179" fontId="3" fillId="0" borderId="0" xfId="4" applyAlignment="1">
      <alignment horizontal="center" wrapText="1"/>
    </xf>
    <xf numFmtId="179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79" fontId="2" fillId="0" borderId="1" xfId="4" applyFont="1" applyBorder="1" applyAlignment="1">
      <alignment horizontal="center" wrapText="1"/>
    </xf>
    <xf numFmtId="179" fontId="2" fillId="5" borderId="1" xfId="4" applyFont="1" applyFill="1" applyBorder="1" applyAlignment="1">
      <alignment horizontal="center" wrapText="1"/>
    </xf>
    <xf numFmtId="179" fontId="8" fillId="5" borderId="1" xfId="4" applyFont="1" applyFill="1" applyBorder="1" applyAlignment="1">
      <alignment horizontal="center" wrapText="1"/>
    </xf>
    <xf numFmtId="179" fontId="8" fillId="6" borderId="1" xfId="4" applyFont="1" applyFill="1" applyBorder="1" applyAlignment="1">
      <alignment horizontal="center" wrapText="1"/>
    </xf>
    <xf numFmtId="179" fontId="2" fillId="6" borderId="1" xfId="4" applyFont="1" applyFill="1" applyBorder="1" applyAlignment="1">
      <alignment horizontal="center" wrapText="1"/>
    </xf>
    <xf numFmtId="179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9" fontId="3" fillId="0" borderId="1" xfId="4" applyBorder="1"/>
    <xf numFmtId="179" fontId="3" fillId="0" borderId="1" xfId="4" applyNumberFormat="1" applyBorder="1"/>
    <xf numFmtId="179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79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179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2" fillId="4" borderId="4" xfId="4" applyNumberFormat="1" applyFont="1" applyFill="1" applyBorder="1" applyAlignment="1">
      <alignment wrapText="1"/>
    </xf>
    <xf numFmtId="4" fontId="3" fillId="0" borderId="0" xfId="4" applyNumberFormat="1" applyAlignment="1">
      <alignment wrapText="1"/>
    </xf>
    <xf numFmtId="2" fontId="2" fillId="4" borderId="4" xfId="4" applyNumberFormat="1" applyFont="1" applyFill="1" applyBorder="1" applyAlignment="1">
      <alignment wrapText="1"/>
    </xf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86" fontId="3" fillId="0" borderId="0" xfId="4" applyNumberFormat="1"/>
    <xf numFmtId="179" fontId="0" fillId="6" borderId="4" xfId="0" applyFill="1" applyBorder="1" applyAlignment="1">
      <alignment wrapText="1"/>
    </xf>
    <xf numFmtId="179" fontId="16" fillId="0" borderId="1" xfId="4" applyFont="1" applyBorder="1" applyAlignment="1">
      <alignment wrapText="1"/>
    </xf>
    <xf numFmtId="177" fontId="6" fillId="8" borderId="4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79" fontId="3" fillId="9" borderId="1" xfId="4" applyFill="1" applyBorder="1"/>
    <xf numFmtId="179" fontId="3" fillId="9" borderId="4" xfId="0" applyFont="1" applyFill="1" applyBorder="1" applyAlignment="1">
      <alignment wrapText="1"/>
    </xf>
    <xf numFmtId="0" fontId="3" fillId="0" borderId="1" xfId="4" applyNumberFormat="1" applyBorder="1" applyAlignment="1">
      <alignment horizontal="center"/>
    </xf>
    <xf numFmtId="0" fontId="3" fillId="0" borderId="0" xfId="4" applyNumberFormat="1" applyAlignment="1">
      <alignment horizontal="center" wrapText="1"/>
    </xf>
    <xf numFmtId="0" fontId="3" fillId="0" borderId="1" xfId="4" applyNumberFormat="1" applyBorder="1"/>
    <xf numFmtId="0" fontId="3" fillId="0" borderId="2" xfId="4" applyNumberFormat="1" applyBorder="1" applyAlignment="1">
      <alignment horizontal="center" wrapText="1"/>
    </xf>
    <xf numFmtId="0" fontId="3" fillId="0" borderId="2" xfId="4" applyNumberFormat="1" applyBorder="1"/>
    <xf numFmtId="0" fontId="3" fillId="0" borderId="5" xfId="4" applyNumberFormat="1" applyBorder="1"/>
    <xf numFmtId="0" fontId="3" fillId="2" borderId="1" xfId="4" applyNumberFormat="1" applyFill="1" applyBorder="1"/>
    <xf numFmtId="0" fontId="15" fillId="0" borderId="4" xfId="0" applyNumberFormat="1" applyFont="1" applyBorder="1" applyAlignment="1">
      <alignment horizontal="center" vertical="center"/>
    </xf>
    <xf numFmtId="0" fontId="0" fillId="2" borderId="1" xfId="5" applyNumberFormat="1" applyFont="1" applyFill="1" applyBorder="1" applyAlignment="1"/>
    <xf numFmtId="0" fontId="3" fillId="0" borderId="4" xfId="4" applyNumberFormat="1" applyBorder="1"/>
    <xf numFmtId="0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"/>
  <sheetViews>
    <sheetView tabSelected="1" topLeftCell="K1" zoomScaleNormal="100" workbookViewId="0">
      <selection activeCell="S2" sqref="S2:BI7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50.7109375" style="2" customWidth="1"/>
    <col min="11" max="11" width="12.42578125" style="2" customWidth="1"/>
    <col min="12" max="12" width="18" style="2" customWidth="1"/>
    <col min="13" max="13" width="13.140625" style="2" bestFit="1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24" customWidth="1"/>
    <col min="20" max="20" width="8.140625" style="26" customWidth="1"/>
    <col min="21" max="21" width="8.7109375" style="37" customWidth="1"/>
    <col min="22" max="22" width="8.7109375" style="23" customWidth="1"/>
    <col min="23" max="23" width="12.42578125" style="26" customWidth="1"/>
    <col min="24" max="24" width="9.85546875" style="26" customWidth="1"/>
    <col min="25" max="25" width="9" style="26" customWidth="1"/>
    <col min="26" max="26" width="6.28515625" style="24" customWidth="1"/>
    <col min="27" max="27" width="11.42578125" style="23" customWidth="1"/>
    <col min="28" max="28" width="9.85546875" style="24" customWidth="1"/>
    <col min="29" max="29" width="7.85546875" style="2" customWidth="1"/>
    <col min="30" max="30" width="9" style="26" customWidth="1"/>
    <col min="31" max="31" width="9" style="24" customWidth="1"/>
    <col min="32" max="32" width="9" style="23" customWidth="1"/>
    <col min="33" max="33" width="10" style="32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28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2" width="10.42578125" style="5" customWidth="1"/>
    <col min="63" max="63" width="12.42578125" style="2" customWidth="1"/>
    <col min="64" max="64" width="10.42578125" style="2" customWidth="1"/>
    <col min="65" max="65" width="9.5703125" style="2" customWidth="1"/>
    <col min="66" max="66" width="13.42578125" style="2" customWidth="1"/>
    <col min="67" max="67" width="13.42578125" style="4" customWidth="1"/>
    <col min="68" max="68" width="9.140625" style="2"/>
    <col min="69" max="69" width="12.42578125" style="2" customWidth="1"/>
    <col min="70" max="70" width="10.28515625" style="2" bestFit="1" customWidth="1"/>
    <col min="71" max="16384" width="9.140625" style="2"/>
  </cols>
  <sheetData>
    <row r="1" spans="1:70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79</v>
      </c>
      <c r="K1" s="33" t="s">
        <v>42</v>
      </c>
      <c r="L1" s="10" t="s">
        <v>13</v>
      </c>
      <c r="M1" s="10" t="s">
        <v>14</v>
      </c>
      <c r="N1" s="7" t="s">
        <v>41</v>
      </c>
      <c r="O1" s="7" t="s">
        <v>15</v>
      </c>
      <c r="P1" s="7" t="s">
        <v>16</v>
      </c>
      <c r="Q1" s="7" t="s">
        <v>39</v>
      </c>
      <c r="R1" s="10" t="s">
        <v>17</v>
      </c>
      <c r="S1" s="13" t="s">
        <v>37</v>
      </c>
      <c r="T1" s="34" t="s">
        <v>38</v>
      </c>
      <c r="U1" s="36" t="s">
        <v>44</v>
      </c>
      <c r="V1" s="38" t="s">
        <v>45</v>
      </c>
      <c r="W1" s="35" t="s">
        <v>46</v>
      </c>
      <c r="X1" s="11" t="s">
        <v>1</v>
      </c>
      <c r="Y1" s="25" t="s">
        <v>18</v>
      </c>
      <c r="Z1" s="25" t="s">
        <v>19</v>
      </c>
      <c r="AA1" s="25" t="s">
        <v>20</v>
      </c>
      <c r="AB1" s="13" t="s">
        <v>21</v>
      </c>
      <c r="AC1" s="31" t="s">
        <v>22</v>
      </c>
      <c r="AD1" s="25" t="s">
        <v>47</v>
      </c>
      <c r="AE1" s="25" t="s">
        <v>48</v>
      </c>
      <c r="AF1" s="25" t="s">
        <v>49</v>
      </c>
      <c r="AG1" s="12" t="s">
        <v>50</v>
      </c>
      <c r="AH1" s="14" t="s">
        <v>23</v>
      </c>
      <c r="AI1" s="15" t="s">
        <v>24</v>
      </c>
      <c r="AJ1" s="6" t="s">
        <v>25</v>
      </c>
      <c r="AK1" s="16" t="s">
        <v>26</v>
      </c>
      <c r="AL1" s="6" t="s">
        <v>27</v>
      </c>
      <c r="AM1" s="17" t="s">
        <v>28</v>
      </c>
      <c r="AN1" s="18" t="s">
        <v>29</v>
      </c>
      <c r="AO1" s="16" t="s">
        <v>30</v>
      </c>
      <c r="AP1" s="17" t="s">
        <v>31</v>
      </c>
      <c r="AQ1" s="16" t="s">
        <v>32</v>
      </c>
      <c r="AR1" s="17" t="s">
        <v>33</v>
      </c>
      <c r="AS1" s="16" t="s">
        <v>34</v>
      </c>
      <c r="AT1" s="17" t="s">
        <v>55</v>
      </c>
      <c r="AU1" s="16" t="s">
        <v>54</v>
      </c>
      <c r="AV1" s="27" t="s">
        <v>51</v>
      </c>
      <c r="AW1" s="17" t="s">
        <v>52</v>
      </c>
      <c r="AX1" s="16" t="s">
        <v>53</v>
      </c>
      <c r="AY1" s="16" t="s">
        <v>35</v>
      </c>
      <c r="AZ1" s="29" t="s">
        <v>36</v>
      </c>
      <c r="BA1" s="19" t="s">
        <v>40</v>
      </c>
      <c r="BB1" s="53" t="s">
        <v>56</v>
      </c>
      <c r="BC1" s="40" t="s">
        <v>58</v>
      </c>
      <c r="BD1" s="16" t="s">
        <v>59</v>
      </c>
      <c r="BE1" s="41" t="s">
        <v>60</v>
      </c>
      <c r="BF1" s="29" t="s">
        <v>61</v>
      </c>
      <c r="BG1" s="19" t="s">
        <v>62</v>
      </c>
      <c r="BH1" s="44" t="s">
        <v>57</v>
      </c>
      <c r="BI1" s="52" t="s">
        <v>81</v>
      </c>
      <c r="BJ1" s="43"/>
      <c r="BK1" s="46" t="s">
        <v>63</v>
      </c>
      <c r="BL1" s="47" t="s">
        <v>65</v>
      </c>
      <c r="BM1" s="46" t="s">
        <v>64</v>
      </c>
      <c r="BN1" s="47" t="s">
        <v>67</v>
      </c>
      <c r="BO1" s="48" t="s">
        <v>66</v>
      </c>
    </row>
    <row r="2" spans="1:70" s="22" customFormat="1" ht="75">
      <c r="A2" s="56">
        <v>1</v>
      </c>
      <c r="B2" s="20"/>
      <c r="C2" s="20"/>
      <c r="D2" s="20" t="s">
        <v>4</v>
      </c>
      <c r="E2" s="20"/>
      <c r="F2" s="54" t="s">
        <v>43</v>
      </c>
      <c r="G2" s="21" t="s">
        <v>68</v>
      </c>
      <c r="H2" s="54" t="s">
        <v>83</v>
      </c>
      <c r="I2" s="54" t="s">
        <v>82</v>
      </c>
      <c r="J2" s="51" t="s">
        <v>80</v>
      </c>
      <c r="K2" s="30" t="s">
        <v>69</v>
      </c>
      <c r="L2" s="20" t="s">
        <v>70</v>
      </c>
      <c r="M2" s="20" t="s">
        <v>73</v>
      </c>
      <c r="N2" s="30"/>
      <c r="O2" s="55" t="s">
        <v>84</v>
      </c>
      <c r="P2" s="50" t="s">
        <v>75</v>
      </c>
      <c r="Q2" s="20"/>
      <c r="R2" s="20" t="s">
        <v>5</v>
      </c>
      <c r="S2" s="58">
        <v>150</v>
      </c>
      <c r="T2" s="59">
        <v>33.4</v>
      </c>
      <c r="U2" s="60">
        <v>270.54000000000002</v>
      </c>
      <c r="V2" s="61">
        <v>8.1</v>
      </c>
      <c r="W2" s="62">
        <f>IF(ISERROR(U2/V2),"",U2/V2)</f>
        <v>33.4</v>
      </c>
      <c r="X2" s="56" t="s">
        <v>3</v>
      </c>
      <c r="Y2" s="63">
        <v>43</v>
      </c>
      <c r="Z2" s="63">
        <v>43</v>
      </c>
      <c r="AA2" s="63">
        <v>43</v>
      </c>
      <c r="AB2" s="56">
        <v>2</v>
      </c>
      <c r="AC2" s="62">
        <f t="shared" ref="AC2" si="0">IF(Y2="","",Y2*Z2*AA2/1000000)</f>
        <v>7.9506999999999994E-2</v>
      </c>
      <c r="AD2" s="63">
        <v>15</v>
      </c>
      <c r="AE2" s="63">
        <v>15</v>
      </c>
      <c r="AF2" s="63">
        <v>7.5</v>
      </c>
      <c r="AG2" s="56">
        <v>7.59</v>
      </c>
      <c r="AH2" s="58">
        <v>65</v>
      </c>
      <c r="AI2" s="62">
        <f t="shared" ref="AI2" si="1">IF(AB2="","",AH2/AC2*AB2)</f>
        <v>1635.07615681638</v>
      </c>
      <c r="AJ2" s="58">
        <v>4050</v>
      </c>
      <c r="AK2" s="62">
        <f>IF(ISERROR(AJ2/AI2),"",AJ2/AI2)</f>
        <v>2.4769488461538498</v>
      </c>
      <c r="AL2" s="58" t="s">
        <v>71</v>
      </c>
      <c r="AM2" s="58">
        <f>12.8%+25%+25%</f>
        <v>0.628</v>
      </c>
      <c r="AN2" s="62">
        <f>IF(ISERROR(W2*AM2),"",W2*AM2)</f>
        <v>20.975200000000001</v>
      </c>
      <c r="AO2" s="62">
        <f>IF(ISERROR(W2+AK2+AN2),"",W2+AK2+AN2)</f>
        <v>56.852148846153902</v>
      </c>
      <c r="AP2" s="58">
        <v>0.1</v>
      </c>
      <c r="AQ2" s="62">
        <f>IF(ISERROR(BB2*AP2),"",BB2*AP2)</f>
        <v>14.849449999999999</v>
      </c>
      <c r="AR2" s="58">
        <v>0.15</v>
      </c>
      <c r="AS2" s="62">
        <f>IF(ISERROR(BB2*AR2),"",BB2*AR2)</f>
        <v>22.274175</v>
      </c>
      <c r="AT2" s="58">
        <v>0.1</v>
      </c>
      <c r="AU2" s="62">
        <f>IF(ISERROR(BB2*AT2),"",BB2*AT2)</f>
        <v>14.849449999999999</v>
      </c>
      <c r="AV2" s="58"/>
      <c r="AW2" s="58">
        <v>0</v>
      </c>
      <c r="AX2" s="62">
        <f>IF(ISERROR(BB2*AW2),"",BB2*AW2)</f>
        <v>0</v>
      </c>
      <c r="AY2" s="62">
        <f>IF(ISERROR(AQ2+AS2+AU2+AX2),"",AQ2+AS2+AU2+AX2)</f>
        <v>51.973075000000001</v>
      </c>
      <c r="AZ2" s="62">
        <f t="shared" ref="AZ2" si="2">IF(ISERROR(AO2+AY2),"",AO2+AY2)</f>
        <v>108.825223846154</v>
      </c>
      <c r="BA2" s="64">
        <f t="shared" ref="BA2" si="3">IF(ISERROR((BB2-AZ2)/BB2),"",(BB2-AZ2)/BB2)</f>
        <v>0.267143066940836</v>
      </c>
      <c r="BB2" s="62">
        <f>IF(BH2="","",BH2*(1-BI2))</f>
        <v>148.49449999999999</v>
      </c>
      <c r="BC2" s="65">
        <v>0.3</v>
      </c>
      <c r="BD2" s="62">
        <f>IF(BC2="","",BH2*BC2)</f>
        <v>80.997</v>
      </c>
      <c r="BE2" s="65">
        <v>15</v>
      </c>
      <c r="BF2" s="62">
        <f>IF(ISERROR(AZ2+BD2+BE2),"",AZ2+BD2+BE2)</f>
        <v>204.822223846154</v>
      </c>
      <c r="BG2" s="62">
        <f>IF(BH2="","",(BH2-BF2)/BH2)</f>
        <v>0.24137107357252499</v>
      </c>
      <c r="BH2" s="65">
        <v>269.99</v>
      </c>
      <c r="BI2" s="65">
        <v>0.45</v>
      </c>
      <c r="BJ2" s="3"/>
      <c r="BK2" s="39">
        <f>BB2</f>
        <v>148.49</v>
      </c>
      <c r="BL2" s="45">
        <f>IF(BM2="","",CEILING(BM2/0.9 - 0.01, 10) - 0.01)</f>
        <v>299.99</v>
      </c>
      <c r="BM2" s="39">
        <f>IF(BH2="","",BH2)</f>
        <v>269.99</v>
      </c>
      <c r="BN2" s="42">
        <f>IF(BK2="","",(BK2-AO2)/BK2)</f>
        <v>0.61709999999999998</v>
      </c>
      <c r="BO2" s="42">
        <f>IF(BL2="","",(BL2-BK2)/BL2)</f>
        <v>0.505</v>
      </c>
      <c r="BQ2" s="49">
        <f>S2*W2</f>
        <v>5010</v>
      </c>
      <c r="BR2" s="49">
        <f>BB2*S2</f>
        <v>22274.18</v>
      </c>
    </row>
    <row r="3" spans="1:70" s="22" customFormat="1" ht="75">
      <c r="A3" s="56">
        <v>2</v>
      </c>
      <c r="B3" s="20"/>
      <c r="C3" s="20"/>
      <c r="D3" s="20" t="s">
        <v>4</v>
      </c>
      <c r="E3" s="20"/>
      <c r="F3" s="54" t="s">
        <v>43</v>
      </c>
      <c r="G3" s="21" t="s">
        <v>68</v>
      </c>
      <c r="H3" s="54" t="s">
        <v>83</v>
      </c>
      <c r="I3" s="54" t="s">
        <v>82</v>
      </c>
      <c r="J3" s="51" t="s">
        <v>80</v>
      </c>
      <c r="K3" s="30" t="s">
        <v>69</v>
      </c>
      <c r="L3" s="20" t="s">
        <v>72</v>
      </c>
      <c r="M3" s="20" t="s">
        <v>73</v>
      </c>
      <c r="N3" s="30"/>
      <c r="O3" s="55" t="s">
        <v>85</v>
      </c>
      <c r="P3" s="50" t="s">
        <v>76</v>
      </c>
      <c r="Q3" s="20"/>
      <c r="R3" s="20" t="s">
        <v>5</v>
      </c>
      <c r="S3" s="58">
        <v>150</v>
      </c>
      <c r="T3" s="59">
        <v>39.4</v>
      </c>
      <c r="U3" s="60">
        <v>319.14</v>
      </c>
      <c r="V3" s="61">
        <v>8.1</v>
      </c>
      <c r="W3" s="62">
        <f>IF(ISERROR(U3/V3),"",U3/V3)</f>
        <v>39.4</v>
      </c>
      <c r="X3" s="56" t="s">
        <v>3</v>
      </c>
      <c r="Y3" s="63">
        <v>43</v>
      </c>
      <c r="Z3" s="63">
        <v>43</v>
      </c>
      <c r="AA3" s="63">
        <v>47</v>
      </c>
      <c r="AB3" s="56">
        <v>2</v>
      </c>
      <c r="AC3" s="62">
        <f t="shared" ref="AC3:AC4" si="4">IF(Y3="","",Y3*Z3*AA3/1000000)</f>
        <v>8.6902999999999994E-2</v>
      </c>
      <c r="AD3" s="63">
        <v>15</v>
      </c>
      <c r="AE3" s="63">
        <v>15</v>
      </c>
      <c r="AF3" s="63">
        <v>8.5</v>
      </c>
      <c r="AG3" s="56">
        <v>8.77</v>
      </c>
      <c r="AH3" s="58">
        <v>65</v>
      </c>
      <c r="AI3" s="62">
        <f t="shared" ref="AI3:AI4" si="5">IF(AB3="","",AH3/AC3*AB3)</f>
        <v>1495.9207392149899</v>
      </c>
      <c r="AJ3" s="58">
        <v>4050</v>
      </c>
      <c r="AK3" s="62">
        <f>IF(ISERROR(AJ3/AI3),"",AJ3/AI3)</f>
        <v>2.7073626923076901</v>
      </c>
      <c r="AL3" s="58" t="s">
        <v>71</v>
      </c>
      <c r="AM3" s="58">
        <f>12.8%+25%+25%</f>
        <v>0.628</v>
      </c>
      <c r="AN3" s="62">
        <f>IF(ISERROR(W3*AM3),"",W3*AM3)</f>
        <v>24.743200000000002</v>
      </c>
      <c r="AO3" s="62">
        <f>IF(ISERROR(W3+AK3+AN3),"",W3+AK3+AN3)</f>
        <v>66.850562692307705</v>
      </c>
      <c r="AP3" s="58">
        <v>0.1</v>
      </c>
      <c r="AQ3" s="62">
        <f>IF(ISERROR(BB3*AP3),"",BB3*AP3)</f>
        <v>18.149450000000002</v>
      </c>
      <c r="AR3" s="58">
        <v>0.15</v>
      </c>
      <c r="AS3" s="62">
        <f>IF(ISERROR(BB3*AR3),"",BB3*AR3)</f>
        <v>27.224174999999999</v>
      </c>
      <c r="AT3" s="58">
        <v>0.1</v>
      </c>
      <c r="AU3" s="62">
        <f>IF(ISERROR(BB3*AT3),"",BB3*AT3)</f>
        <v>18.149450000000002</v>
      </c>
      <c r="AV3" s="58"/>
      <c r="AW3" s="58">
        <v>0</v>
      </c>
      <c r="AX3" s="62">
        <f>IF(ISERROR(BB3*AW3),"",BB3*AW3)</f>
        <v>0</v>
      </c>
      <c r="AY3" s="62">
        <f>IF(ISERROR(AQ3+AS3+AU3+AX3),"",AQ3+AS3+AU3+AX3)</f>
        <v>63.523074999999999</v>
      </c>
      <c r="AZ3" s="62">
        <f t="shared" ref="AZ3:AZ4" si="6">IF(ISERROR(AO3+AY3),"",AO3+AY3)</f>
        <v>130.37363769230799</v>
      </c>
      <c r="BA3" s="64">
        <f t="shared" ref="BA3:BA4" si="7">IF(ISERROR((BB3-AZ3)/BB3),"",(BB3-AZ3)/BB3)</f>
        <v>0.281666178907306</v>
      </c>
      <c r="BB3" s="62">
        <f t="shared" ref="BB3:BB5" si="8">IF(BH3="","",BH3*(1-BI3))</f>
        <v>181.49449999999999</v>
      </c>
      <c r="BC3" s="65">
        <v>0.3</v>
      </c>
      <c r="BD3" s="62">
        <f>IF(BC3="","",BH3*BC3)</f>
        <v>98.997</v>
      </c>
      <c r="BE3" s="65">
        <v>15</v>
      </c>
      <c r="BF3" s="62">
        <f>IF(ISERROR(AZ3+BD3+BE3),"",AZ3+BD3+BE3)</f>
        <v>244.37063769230801</v>
      </c>
      <c r="BG3" s="62">
        <f>IF(BH3="","",(BH3-BF3)/BH3)</f>
        <v>0.25946047549226298</v>
      </c>
      <c r="BH3" s="65">
        <v>329.99</v>
      </c>
      <c r="BI3" s="65">
        <v>0.45</v>
      </c>
      <c r="BJ3" s="3"/>
      <c r="BK3" s="39">
        <f t="shared" ref="BK3:BK5" si="9">BB3</f>
        <v>181.49</v>
      </c>
      <c r="BL3" s="45">
        <f t="shared" ref="BL3:BL5" si="10">IF(BM3="","",CEILING(BM3/0.9 - 0.01, 10) - 0.01)</f>
        <v>369.99</v>
      </c>
      <c r="BM3" s="39">
        <f t="shared" ref="BM3:BM5" si="11">IF(BH3="","",BH3)</f>
        <v>329.99</v>
      </c>
      <c r="BN3" s="42">
        <f t="shared" ref="BN3:BN5" si="12">IF(BK3="","",(BK3-AO3)/BK3)</f>
        <v>0.63170000000000004</v>
      </c>
      <c r="BO3" s="42">
        <f t="shared" ref="BO3:BO5" si="13">IF(BL3="","",(BL3-BK3)/BL3)</f>
        <v>0.50949999999999995</v>
      </c>
      <c r="BQ3" s="49">
        <f>S3*W3</f>
        <v>5910</v>
      </c>
      <c r="BR3" s="49">
        <f t="shared" ref="BR3:BR5" si="14">BB3*S3</f>
        <v>27224.18</v>
      </c>
    </row>
    <row r="4" spans="1:70" s="22" customFormat="1" ht="75">
      <c r="A4" s="56">
        <v>3</v>
      </c>
      <c r="B4" s="20"/>
      <c r="C4" s="20"/>
      <c r="D4" s="20" t="s">
        <v>4</v>
      </c>
      <c r="E4" s="20"/>
      <c r="F4" s="54" t="s">
        <v>43</v>
      </c>
      <c r="G4" s="21" t="s">
        <v>68</v>
      </c>
      <c r="H4" s="54" t="s">
        <v>83</v>
      </c>
      <c r="I4" s="54" t="s">
        <v>82</v>
      </c>
      <c r="J4" s="51" t="s">
        <v>80</v>
      </c>
      <c r="K4" s="30" t="s">
        <v>69</v>
      </c>
      <c r="L4" s="20" t="s">
        <v>70</v>
      </c>
      <c r="M4" s="20" t="s">
        <v>74</v>
      </c>
      <c r="N4" s="30"/>
      <c r="O4" s="55" t="s">
        <v>86</v>
      </c>
      <c r="P4" s="50" t="s">
        <v>77</v>
      </c>
      <c r="Q4" s="20"/>
      <c r="R4" s="20" t="s">
        <v>5</v>
      </c>
      <c r="S4" s="58">
        <v>150</v>
      </c>
      <c r="T4" s="59">
        <v>33.4</v>
      </c>
      <c r="U4" s="60">
        <v>270.54000000000002</v>
      </c>
      <c r="V4" s="61">
        <v>8.1</v>
      </c>
      <c r="W4" s="62">
        <f>IF(ISERROR(U4/V4),"",U4/V4)</f>
        <v>33.4</v>
      </c>
      <c r="X4" s="56" t="s">
        <v>3</v>
      </c>
      <c r="Y4" s="63">
        <v>43</v>
      </c>
      <c r="Z4" s="63">
        <v>43</v>
      </c>
      <c r="AA4" s="63">
        <v>43</v>
      </c>
      <c r="AB4" s="56">
        <v>2</v>
      </c>
      <c r="AC4" s="62">
        <f t="shared" si="4"/>
        <v>7.9506999999999994E-2</v>
      </c>
      <c r="AD4" s="63">
        <v>15</v>
      </c>
      <c r="AE4" s="63">
        <v>15</v>
      </c>
      <c r="AF4" s="63">
        <v>7.5</v>
      </c>
      <c r="AG4" s="56">
        <v>7.59</v>
      </c>
      <c r="AH4" s="58">
        <v>65</v>
      </c>
      <c r="AI4" s="62">
        <f t="shared" si="5"/>
        <v>1635.07615681638</v>
      </c>
      <c r="AJ4" s="58">
        <v>4050</v>
      </c>
      <c r="AK4" s="62">
        <f>IF(ISERROR(AJ4/AI4),"",AJ4/AI4)</f>
        <v>2.4769488461538498</v>
      </c>
      <c r="AL4" s="58" t="s">
        <v>71</v>
      </c>
      <c r="AM4" s="58">
        <f>12.8%+25%+25%</f>
        <v>0.628</v>
      </c>
      <c r="AN4" s="62">
        <f>IF(ISERROR(W4*AM4),"",W4*AM4)</f>
        <v>20.975200000000001</v>
      </c>
      <c r="AO4" s="62">
        <f>IF(ISERROR(W4+AK4+AN4),"",W4+AK4+AN4)</f>
        <v>56.852148846153902</v>
      </c>
      <c r="AP4" s="58">
        <v>0.1</v>
      </c>
      <c r="AQ4" s="62">
        <f>IF(ISERROR(BB4*AP4),"",BB4*AP4)</f>
        <v>14.849449999999999</v>
      </c>
      <c r="AR4" s="58">
        <v>0.15</v>
      </c>
      <c r="AS4" s="62">
        <f>IF(ISERROR(BB4*AR4),"",BB4*AR4)</f>
        <v>22.274175</v>
      </c>
      <c r="AT4" s="58">
        <v>0.1</v>
      </c>
      <c r="AU4" s="62">
        <f>IF(ISERROR(BB4*AT4),"",BB4*AT4)</f>
        <v>14.849449999999999</v>
      </c>
      <c r="AV4" s="58"/>
      <c r="AW4" s="58">
        <v>0</v>
      </c>
      <c r="AX4" s="62">
        <f>IF(ISERROR(BB4*AW4),"",BB4*AW4)</f>
        <v>0</v>
      </c>
      <c r="AY4" s="62">
        <f>IF(ISERROR(AQ4+AS4+AU4+AX4),"",AQ4+AS4+AU4+AX4)</f>
        <v>51.973075000000001</v>
      </c>
      <c r="AZ4" s="62">
        <f t="shared" si="6"/>
        <v>108.825223846154</v>
      </c>
      <c r="BA4" s="64">
        <f t="shared" si="7"/>
        <v>0.267143066940836</v>
      </c>
      <c r="BB4" s="62">
        <f t="shared" si="8"/>
        <v>148.49449999999999</v>
      </c>
      <c r="BC4" s="65">
        <v>0.3</v>
      </c>
      <c r="BD4" s="62">
        <f>IF(BC4="","",BH4*BC4)</f>
        <v>80.997</v>
      </c>
      <c r="BE4" s="65">
        <v>15</v>
      </c>
      <c r="BF4" s="62">
        <f>IF(ISERROR(AZ4+BD4+BE4),"",AZ4+BD4+BE4)</f>
        <v>204.822223846154</v>
      </c>
      <c r="BG4" s="62">
        <f>IF(BH4="","",(BH4-BF4)/BH4)</f>
        <v>0.24137107357252499</v>
      </c>
      <c r="BH4" s="65">
        <v>269.99</v>
      </c>
      <c r="BI4" s="65">
        <v>0.45</v>
      </c>
      <c r="BJ4" s="3"/>
      <c r="BK4" s="39">
        <f t="shared" si="9"/>
        <v>148.49</v>
      </c>
      <c r="BL4" s="45">
        <f t="shared" si="10"/>
        <v>299.99</v>
      </c>
      <c r="BM4" s="39">
        <f t="shared" si="11"/>
        <v>269.99</v>
      </c>
      <c r="BN4" s="42">
        <f t="shared" si="12"/>
        <v>0.61709999999999998</v>
      </c>
      <c r="BO4" s="42">
        <f t="shared" si="13"/>
        <v>0.505</v>
      </c>
      <c r="BQ4" s="49">
        <f t="shared" ref="BQ4:BQ5" si="15">S4*W4</f>
        <v>5010</v>
      </c>
      <c r="BR4" s="49">
        <f t="shared" si="14"/>
        <v>22274.18</v>
      </c>
    </row>
    <row r="5" spans="1:70" s="22" customFormat="1" ht="75">
      <c r="A5" s="56">
        <v>4</v>
      </c>
      <c r="B5" s="20"/>
      <c r="C5" s="20"/>
      <c r="D5" s="20" t="s">
        <v>4</v>
      </c>
      <c r="E5" s="20"/>
      <c r="F5" s="54" t="s">
        <v>43</v>
      </c>
      <c r="G5" s="21" t="s">
        <v>68</v>
      </c>
      <c r="H5" s="54" t="s">
        <v>83</v>
      </c>
      <c r="I5" s="54" t="s">
        <v>82</v>
      </c>
      <c r="J5" s="51" t="s">
        <v>80</v>
      </c>
      <c r="K5" s="30" t="s">
        <v>69</v>
      </c>
      <c r="L5" s="20" t="s">
        <v>72</v>
      </c>
      <c r="M5" s="20" t="s">
        <v>74</v>
      </c>
      <c r="N5" s="30"/>
      <c r="O5" s="55" t="s">
        <v>87</v>
      </c>
      <c r="P5" s="50" t="s">
        <v>78</v>
      </c>
      <c r="Q5" s="20"/>
      <c r="R5" s="20" t="s">
        <v>5</v>
      </c>
      <c r="S5" s="58">
        <v>150</v>
      </c>
      <c r="T5" s="59">
        <v>39.4</v>
      </c>
      <c r="U5" s="60">
        <v>319.14</v>
      </c>
      <c r="V5" s="61">
        <v>8.1</v>
      </c>
      <c r="W5" s="62">
        <f>IF(ISERROR(U5/V5),"",U5/V5)</f>
        <v>39.4</v>
      </c>
      <c r="X5" s="56" t="s">
        <v>3</v>
      </c>
      <c r="Y5" s="63">
        <v>43</v>
      </c>
      <c r="Z5" s="63">
        <v>43</v>
      </c>
      <c r="AA5" s="63">
        <v>47</v>
      </c>
      <c r="AB5" s="56">
        <v>2</v>
      </c>
      <c r="AC5" s="62">
        <f t="shared" ref="AC5" si="16">IF(Y5="","",Y5*Z5*AA5/1000000)</f>
        <v>8.6902999999999994E-2</v>
      </c>
      <c r="AD5" s="63">
        <v>15</v>
      </c>
      <c r="AE5" s="63">
        <v>15</v>
      </c>
      <c r="AF5" s="63">
        <v>8.5</v>
      </c>
      <c r="AG5" s="56">
        <v>8.77</v>
      </c>
      <c r="AH5" s="58">
        <v>65</v>
      </c>
      <c r="AI5" s="62">
        <f t="shared" ref="AI5" si="17">IF(AB5="","",AH5/AC5*AB5)</f>
        <v>1495.9207392149899</v>
      </c>
      <c r="AJ5" s="58">
        <v>4050</v>
      </c>
      <c r="AK5" s="62">
        <f>IF(ISERROR(AJ5/AI5),"",AJ5/AI5)</f>
        <v>2.7073626923076901</v>
      </c>
      <c r="AL5" s="58" t="s">
        <v>71</v>
      </c>
      <c r="AM5" s="58">
        <f>12.8%+25%+25%</f>
        <v>0.628</v>
      </c>
      <c r="AN5" s="62">
        <f>IF(ISERROR(W5*AM5),"",W5*AM5)</f>
        <v>24.743200000000002</v>
      </c>
      <c r="AO5" s="62">
        <f>IF(ISERROR(W5+AK5+AN5),"",W5+AK5+AN5)</f>
        <v>66.850562692307705</v>
      </c>
      <c r="AP5" s="58">
        <v>0.1</v>
      </c>
      <c r="AQ5" s="62">
        <f>IF(ISERROR(BB5*AP5),"",BB5*AP5)</f>
        <v>18.149450000000002</v>
      </c>
      <c r="AR5" s="58">
        <v>0.15</v>
      </c>
      <c r="AS5" s="62">
        <f>IF(ISERROR(BB5*AR5),"",BB5*AR5)</f>
        <v>27.224174999999999</v>
      </c>
      <c r="AT5" s="58">
        <v>0.1</v>
      </c>
      <c r="AU5" s="62">
        <f>IF(ISERROR(BB5*AT5),"",BB5*AT5)</f>
        <v>18.149450000000002</v>
      </c>
      <c r="AV5" s="58"/>
      <c r="AW5" s="58">
        <v>0</v>
      </c>
      <c r="AX5" s="62">
        <f>IF(ISERROR(BB5*AW5),"",BB5*AW5)</f>
        <v>0</v>
      </c>
      <c r="AY5" s="62">
        <f>IF(ISERROR(AQ5+AS5+AU5+AX5),"",AQ5+AS5+AU5+AX5)</f>
        <v>63.523074999999999</v>
      </c>
      <c r="AZ5" s="62">
        <f t="shared" ref="AZ5" si="18">IF(ISERROR(AO5+AY5),"",AO5+AY5)</f>
        <v>130.37363769230799</v>
      </c>
      <c r="BA5" s="64">
        <f t="shared" ref="BA5" si="19">IF(ISERROR((BB5-AZ5)/BB5),"",(BB5-AZ5)/BB5)</f>
        <v>0.281666178907306</v>
      </c>
      <c r="BB5" s="62">
        <f t="shared" si="8"/>
        <v>181.49449999999999</v>
      </c>
      <c r="BC5" s="65">
        <v>0.3</v>
      </c>
      <c r="BD5" s="62">
        <f>IF(BC5="","",BH5*BC5)</f>
        <v>98.997</v>
      </c>
      <c r="BE5" s="65">
        <v>15</v>
      </c>
      <c r="BF5" s="62">
        <f>IF(ISERROR(AZ5+BD5+BE5),"",AZ5+BD5+BE5)</f>
        <v>244.37063769230801</v>
      </c>
      <c r="BG5" s="62">
        <f>IF(BH5="","",(BH5-BF5)/BH5)</f>
        <v>0.25946047549226298</v>
      </c>
      <c r="BH5" s="65">
        <v>329.99</v>
      </c>
      <c r="BI5" s="65">
        <v>0.45</v>
      </c>
      <c r="BJ5" s="3"/>
      <c r="BK5" s="39">
        <f t="shared" si="9"/>
        <v>181.49</v>
      </c>
      <c r="BL5" s="45">
        <f t="shared" si="10"/>
        <v>369.99</v>
      </c>
      <c r="BM5" s="39">
        <f t="shared" si="11"/>
        <v>329.99</v>
      </c>
      <c r="BN5" s="42">
        <f t="shared" si="12"/>
        <v>0.63170000000000004</v>
      </c>
      <c r="BO5" s="42">
        <f t="shared" si="13"/>
        <v>0.50949999999999995</v>
      </c>
      <c r="BQ5" s="49">
        <f t="shared" si="15"/>
        <v>5910</v>
      </c>
      <c r="BR5" s="49">
        <f t="shared" si="14"/>
        <v>27224.18</v>
      </c>
    </row>
    <row r="6" spans="1:70">
      <c r="A6" s="57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</row>
    <row r="7" spans="1:70">
      <c r="A7" s="57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</row>
    <row r="8" spans="1:70">
      <c r="A8" s="57"/>
    </row>
    <row r="9" spans="1:70">
      <c r="A9" s="57"/>
    </row>
  </sheetData>
  <sheetProtection insertRows="0" deleteRows="0" sort="0"/>
  <protectedRanges>
    <protectedRange sqref="A7:B89 D7:E89 C6:C88 AH2:AI5 BG2:BG5 A2:J5 U2:X5 AN2:BE5 L2:R5 T6:AY88 AC2:AC5 F6:R88 AK2:AK5" name="Range1"/>
    <protectedRange sqref="AG2:AG5" name="Range1_2"/>
    <protectedRange sqref="AJ2:AJ5" name="Range1_3"/>
    <protectedRange sqref="AL2:AM5" name="Range1_4"/>
    <protectedRange sqref="S2:S5" name="Range1_6"/>
    <protectedRange sqref="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2025-12-22T08:00:59Z</dcterms:modified>
</cp:coreProperties>
</file>