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0E339DE-09F7-4FCC-99F9-0AEB110B3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  <sheet name="Puff 1211" sheetId="10" r:id="rId2"/>
    <sheet name="ValueSelection" sheetId="6" r:id="rId3"/>
    <sheet name="Data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3" hidden="1">Data!$B$1:$T$1</definedName>
    <definedName name="_xlnm._FilterDatabase" localSheetId="2" hidden="1">ValueSelection!$D$1:$L$294</definedName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"'file://192.168.20.8/beyond%20basic/documents%20and%20settings/chenlihui/local%20settings/temporary%20internet%20files/olk9a/import%20product%20data%20sheet%204%209.xls'#$'1-import product data sheet'.$x$2"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 localSheetId="1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 localSheetId="1">'[6]1-Import Product Data Sheet'!$N$102:$N$144</definedName>
    <definedName name="BRAND">[7]LIST!$D$2:$D$7</definedName>
    <definedName name="Branded">[5]Lists!$F$6:$F$38</definedName>
    <definedName name="brands">'[2]other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[8]Sheet1!$DW$2:$DW$3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 localSheetId="1">'[9]x-Lists'!$AB$2:$AB$18</definedName>
    <definedName name="COLOR_FAMILY">'[10]x-Lists'!$AB$2:$AB$18</definedName>
    <definedName name="colour">[8]Sheet1!$EH$2:$EH$3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'[11]SUBCATS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'[11]SUBCATS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[12]Info!$F$3:$F$5</definedName>
    <definedName name="diffgrp">'[2]diff group head'!$A$2:$A$47</definedName>
    <definedName name="DIFFS">'[2]other data'!$AF$2:$AF$13</definedName>
    <definedName name="division" localSheetId="1">'[13]X-PORTS'!$K$4:$K$12</definedName>
    <definedName name="division">'[14]X-PORTS'!$K$4:$K$12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 localSheetId="1">[7]LIST!$E$2:$E$7</definedName>
    <definedName name="FASHION">[7]LIST!$E$2:$E$7</definedName>
    <definedName name="Feature1_Range">[3]Mapping!$AG$2:$AG$25</definedName>
    <definedName name="Feature10_Range">[15]Mapping!$AP$2:$AP$17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[15]Mapping!$AM$2:$AM$21</definedName>
    <definedName name="Feature8_Range">[15]Mapping!$AN$2:$AN$9</definedName>
    <definedName name="Feature9_Range">[15]Mapping!$AO$2:$AO$5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"'file://172.16.4.11/jla%20sh/users/150863.twmpc083/appdata/local/microsoft/windows/temporary%20internet%20files/content.outlook/7s7yezrg/market%20week%20quotation%20sheeet/shopko%20mink%20to%20sherpa%20blanket%20commitment%2020140331.xls'#$''.$f$25"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 localSheetId="1">[7]LIST!$G$2:$G$7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[3]Mapping!$AF$2:$AF$3</definedName>
    <definedName name="LIFESTYLE" localSheetId="1">[7]LIST!$C$2:$C$7</definedName>
    <definedName name="LIFESTYLE">[7]LIST!$C$2:$C$7</definedName>
    <definedName name="Lighting_or_Candleholders">#REF!</definedName>
    <definedName name="LOCALIZATION__PRICEPOINT" localSheetId="1">'[9]x-Lists'!$Z$2:$Z$4</definedName>
    <definedName name="LOCALIZATION__PRICEPOINT">'[10]x-Lists'!$Z$2:$Z$4</definedName>
    <definedName name="loctype">'[2]other data'!$BN$2:$BN$6</definedName>
    <definedName name="lowpievelour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'[6]1-Import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[12]Info!$E$2:$E$49</definedName>
    <definedName name="po_type">'[2]other data'!$AU$2:$AU$11</definedName>
    <definedName name="PORT_IFF" localSheetId="1">[16]a!$A$10:$B$35</definedName>
    <definedName name="PORT_IFF">[16]a!$A$10:$B$35</definedName>
    <definedName name="ports" localSheetId="1">'[13]X-PORTS'!$D$4:$D$33</definedName>
    <definedName name="ports">'[14]X-PORTS'!$D$4:$D$33</definedName>
    <definedName name="PortSeq">"'file:///d:/documents%20and%20settings/chenlihui/local%20settings/temporary%20internet%20files/olk9a/import%20product%20data%20sheet%204%209.xls'#$'1-import product data sheet'.$u$2"</definedName>
    <definedName name="PortSeqLCL">"'file://172.16.4.11/jla%20sh/users/150863.twmpc083/appdata/local/microsoft/windows/temporary%20internet%20files/content.outlook/7s7yezrg/market%20week%20quotation%20sheeet/shopko%20mink%20to%20sherpa%20blanket%20commitment%2020140331.xls'#$''.$ac$2"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 localSheetId="1">#REF!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'[6]1-Import Product Data Sheet'!$AR$26:$AR$27</definedName>
    <definedName name="PRICE" localSheetId="1">[7]LIST!$B$2:$B$6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[17]Q1!$C$38</definedName>
    <definedName name="QSFOB_2">"'file://192.168.20.8/beyond%20basic/slard%20-%20design/customs%20memo/master%20copy%20quote%20sheet%202.xls'#$q1.$c$38"</definedName>
    <definedName name="Quilts">#REF!</definedName>
    <definedName name="RateSeq">"'file:///d:/documents%20and%20settings/chenlihui/local%20settings/temporary%20internet%20files/olk9a/import%20product%20data%20sheet%204%209.xls'#$'1-import product data sheet'.$x$2"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'[11]DOMESTIC Worksheet'!$AG$3:$AG$12</definedName>
    <definedName name="RUG">#REF!</definedName>
    <definedName name="runnum">'[2]other data'!$BI$2:$BI$18</definedName>
    <definedName name="scalenum">'[2]other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"'file://172.16.4.11/jla%20sh/documents%20and%20settings/zhangmengting/local%20settings/temporary%20internet%20files/content.outlook/ulh9vqi5/poolstock%20print%20mink%20throw%20commit%20131106%20(2).xls'#$''.$bz$6"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"'file://172.16.4.11/jla%20sh/documents%20and%20settings/zhangmengting/local%20settings/temporary%20internet%20files/content.outlook/ulh9vqi5/poolstock%20print%20mink%20throw%20commit%20131106%20(2).xls'#$''.$bz$1"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 localSheetId="1">'[9]x-Lists'!$AQ$2:$AQ$12</definedName>
    <definedName name="THEME">'[10]x-Lists'!$AQ$2:$AQ$12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 localSheetId="1">'[9]x-Lists'!$AR$2:$AR$23</definedName>
    <definedName name="TREATMENT">'[10]x-Lists'!$AR$2:$AR$23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 localSheetId="1">'[13]X-PORTS'!$I$5:$I$7</definedName>
    <definedName name="USPORTS">'[14]X-PORTS'!$I$5:$I$7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[5]Lists!$H$6:$H$29</definedName>
    <definedName name="wvu.MARK.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0" l="1"/>
  <c r="C71" i="10"/>
  <c r="F70" i="10"/>
  <c r="D70" i="10"/>
  <c r="B70" i="10"/>
  <c r="G69" i="10"/>
  <c r="G71" i="10" s="1"/>
  <c r="F69" i="10"/>
  <c r="F71" i="10" s="1"/>
  <c r="E69" i="10"/>
  <c r="D69" i="10"/>
  <c r="D71" i="10" s="1"/>
  <c r="D74" i="10" s="1"/>
  <c r="B69" i="10"/>
  <c r="B71" i="10" s="1"/>
  <c r="B74" i="10" s="1"/>
  <c r="F66" i="10"/>
  <c r="D66" i="10"/>
  <c r="B66" i="10"/>
  <c r="F60" i="10"/>
  <c r="D60" i="10"/>
  <c r="B60" i="10"/>
  <c r="G58" i="10"/>
  <c r="E58" i="10"/>
  <c r="F54" i="10"/>
  <c r="D54" i="10"/>
  <c r="D67" i="10" s="1"/>
  <c r="B54" i="10"/>
  <c r="G48" i="10"/>
  <c r="F48" i="10"/>
  <c r="E48" i="10"/>
  <c r="D48" i="10"/>
  <c r="C48" i="10"/>
  <c r="B48" i="10"/>
  <c r="G44" i="10"/>
  <c r="F44" i="10"/>
  <c r="E44" i="10"/>
  <c r="D44" i="10"/>
  <c r="C44" i="10"/>
  <c r="B44" i="10"/>
  <c r="F40" i="10"/>
  <c r="D40" i="10"/>
  <c r="B40" i="10"/>
  <c r="D36" i="10"/>
  <c r="C36" i="10"/>
  <c r="C67" i="10" s="1"/>
  <c r="B36" i="10"/>
  <c r="B67" i="10" s="1"/>
  <c r="G34" i="10"/>
  <c r="G36" i="10" s="1"/>
  <c r="G67" i="10" s="1"/>
  <c r="F34" i="10"/>
  <c r="F36" i="10" s="1"/>
  <c r="F67" i="10" s="1"/>
  <c r="E34" i="10"/>
  <c r="E36" i="10" s="1"/>
  <c r="E67" i="10" s="1"/>
  <c r="D34" i="10"/>
  <c r="C34" i="10"/>
  <c r="B34" i="10"/>
  <c r="G31" i="10"/>
  <c r="F31" i="10"/>
  <c r="E31" i="10"/>
  <c r="G30" i="10"/>
  <c r="F30" i="10"/>
  <c r="E30" i="10"/>
  <c r="D30" i="10"/>
  <c r="D31" i="10" s="1"/>
  <c r="C30" i="10"/>
  <c r="C31" i="10" s="1"/>
  <c r="B30" i="10"/>
  <c r="B31" i="10" s="1"/>
  <c r="B32" i="10" s="1"/>
  <c r="B68" i="10" s="1"/>
  <c r="G27" i="10"/>
  <c r="F27" i="10"/>
  <c r="E27" i="10"/>
  <c r="D27" i="10"/>
  <c r="C27" i="10"/>
  <c r="B27" i="10"/>
  <c r="G26" i="10"/>
  <c r="E26" i="10"/>
  <c r="C26" i="10"/>
  <c r="G23" i="10"/>
  <c r="F23" i="10"/>
  <c r="E23" i="10"/>
  <c r="D23" i="10"/>
  <c r="C23" i="10"/>
  <c r="B23" i="10"/>
  <c r="G22" i="10"/>
  <c r="F22" i="10"/>
  <c r="E22" i="10"/>
  <c r="D22" i="10"/>
  <c r="C22" i="10"/>
  <c r="B22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5" i="10"/>
  <c r="G32" i="10" s="1"/>
  <c r="G68" i="10" s="1"/>
  <c r="F15" i="10"/>
  <c r="F32" i="10" s="1"/>
  <c r="F68" i="10" s="1"/>
  <c r="E15" i="10"/>
  <c r="E32" i="10" s="1"/>
  <c r="E68" i="10" s="1"/>
  <c r="D15" i="10"/>
  <c r="D32" i="10" s="1"/>
  <c r="C15" i="10"/>
  <c r="C32" i="10" s="1"/>
  <c r="B15" i="10"/>
  <c r="G14" i="10"/>
  <c r="F14" i="10"/>
  <c r="E14" i="10"/>
  <c r="D14" i="10"/>
  <c r="C14" i="10"/>
  <c r="B14" i="10"/>
  <c r="BA5" i="8"/>
  <c r="BC5" i="8" s="1"/>
  <c r="BA6" i="8"/>
  <c r="BC6" i="8" s="1"/>
  <c r="BA7" i="8"/>
  <c r="BC7" i="8" s="1"/>
  <c r="BA2" i="8"/>
  <c r="BA3" i="8"/>
  <c r="BA4" i="8"/>
  <c r="C68" i="10" l="1"/>
  <c r="C75" i="10" s="1"/>
  <c r="D68" i="10"/>
  <c r="D75" i="10" s="1"/>
  <c r="B75" i="10"/>
  <c r="F74" i="10"/>
  <c r="F75" i="10" s="1"/>
  <c r="G74" i="10"/>
  <c r="G75" i="10" s="1"/>
  <c r="E71" i="10"/>
  <c r="E74" i="10" s="1"/>
  <c r="E75" i="10" s="1"/>
  <c r="AT7" i="8"/>
  <c r="AQ7" i="8"/>
  <c r="AN7" i="8"/>
  <c r="AL7" i="8"/>
  <c r="AD7" i="8"/>
  <c r="AE7" i="8" s="1"/>
  <c r="AG7" i="8" s="1"/>
  <c r="AJ7" i="8"/>
  <c r="AT6" i="8"/>
  <c r="AQ6" i="8"/>
  <c r="AN6" i="8"/>
  <c r="AL6" i="8"/>
  <c r="AD6" i="8"/>
  <c r="AE6" i="8" s="1"/>
  <c r="AG6" i="8" s="1"/>
  <c r="AJ6" i="8"/>
  <c r="AT5" i="8"/>
  <c r="AQ5" i="8"/>
  <c r="AN5" i="8"/>
  <c r="AL5" i="8"/>
  <c r="AD5" i="8"/>
  <c r="AE5" i="8" s="1"/>
  <c r="AG5" i="8" s="1"/>
  <c r="AJ5" i="8"/>
  <c r="BC4" i="8"/>
  <c r="AT4" i="8"/>
  <c r="AQ4" i="8"/>
  <c r="AN4" i="8"/>
  <c r="AL4" i="8"/>
  <c r="AD4" i="8"/>
  <c r="AE4" i="8" s="1"/>
  <c r="AG4" i="8" s="1"/>
  <c r="BC3" i="8"/>
  <c r="AT3" i="8"/>
  <c r="AQ3" i="8"/>
  <c r="AN3" i="8"/>
  <c r="AL3" i="8"/>
  <c r="AD3" i="8"/>
  <c r="AE3" i="8" s="1"/>
  <c r="AG3" i="8" s="1"/>
  <c r="BC2" i="8"/>
  <c r="AT2" i="8"/>
  <c r="AQ2" i="8"/>
  <c r="AN2" i="8"/>
  <c r="AL2" i="8"/>
  <c r="AD2" i="8"/>
  <c r="AE2" i="8" s="1"/>
  <c r="AG2" i="8" s="1"/>
  <c r="F77" i="10" l="1"/>
  <c r="F76" i="10"/>
  <c r="E77" i="10"/>
  <c r="E78" i="10" s="1"/>
  <c r="E76" i="10"/>
  <c r="G77" i="10"/>
  <c r="G78" i="10" s="1"/>
  <c r="G76" i="10"/>
  <c r="D76" i="10"/>
  <c r="D77" i="10"/>
  <c r="C77" i="10"/>
  <c r="C78" i="10" s="1"/>
  <c r="C76" i="10"/>
  <c r="B76" i="10"/>
  <c r="B77" i="10"/>
  <c r="AJ2" i="8"/>
  <c r="AJ3" i="8"/>
  <c r="AJ4" i="8"/>
  <c r="AU7" i="8"/>
  <c r="AV7" i="8" s="1"/>
  <c r="AU3" i="8"/>
  <c r="AU5" i="8"/>
  <c r="AV5" i="8" s="1"/>
  <c r="AU4" i="8"/>
  <c r="AU2" i="8"/>
  <c r="AU6" i="8"/>
  <c r="AV6" i="8" s="1"/>
  <c r="BB7" i="8" l="1"/>
  <c r="AW7" i="8"/>
  <c r="AW5" i="8"/>
  <c r="BB5" i="8"/>
  <c r="AW6" i="8"/>
  <c r="BB6" i="8"/>
  <c r="F79" i="10"/>
  <c r="F80" i="10" s="1"/>
  <c r="F78" i="10"/>
  <c r="B78" i="10"/>
  <c r="B79" i="10"/>
  <c r="B80" i="10" s="1"/>
  <c r="D79" i="10"/>
  <c r="D80" i="10" s="1"/>
  <c r="D78" i="10"/>
  <c r="AV4" i="8"/>
  <c r="BB4" i="8" s="1"/>
  <c r="AV2" i="8"/>
  <c r="BB2" i="8" s="1"/>
  <c r="AV3" i="8"/>
  <c r="AW3" i="8" s="1"/>
  <c r="BB3" i="8" l="1"/>
  <c r="AW4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  <author>作者</author>
  </authors>
  <commentList>
    <comment ref="B14" authorId="0" shapeId="0" xr:uid="{D491D6E6-790F-4204-A6C8-9381F1521CD6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ID-231185 
正面面料绗缝抽皱
T码已达起订量，单独一个门幅</t>
        </r>
      </text>
    </comment>
    <comment ref="C14" authorId="0" shapeId="0" xr:uid="{2310415A-382C-46E9-8582-4608782A3A6C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(20+1)*1.23*4=103.32
高度方向没法对称裁剪，因8格做两片sham，4片sham需要16格*6*1.23=118"门幅，如果只做3片
=6*13格*1.23=96"，太浪费
高度方向一对可保持一致，3格+3"，7格做两片sham，4片sham需要6*7*2*1.23=103.32"
</t>
        </r>
      </text>
    </comment>
    <comment ref="B17" authorId="0" shapeId="0" xr:uid="{29707E92-4213-4CF5-BA10-30E0499A1541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2024.2.28张珺</t>
        </r>
      </text>
    </comment>
    <comment ref="C17" authorId="0" shapeId="0" xr:uid="{C9DC0DC8-0BF9-4F0B-8F95-F162C109A853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2024.2.28张珺</t>
        </r>
      </text>
    </comment>
    <comment ref="D17" authorId="0" shapeId="0" xr:uid="{878AD0A7-299F-41EB-A5A3-71D8BCA5AC47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2024.2.28张珺</t>
        </r>
      </text>
    </comment>
    <comment ref="E17" authorId="0" shapeId="0" xr:uid="{4160970E-6A4B-41B3-A7E5-E709C806BBD0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2024.2.28张珺</t>
        </r>
      </text>
    </comment>
    <comment ref="F17" authorId="0" shapeId="0" xr:uid="{49324B4A-B3D7-43EA-8296-13127E423EB6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2024.2.28张珺</t>
        </r>
      </text>
    </comment>
    <comment ref="G17" authorId="0" shapeId="0" xr:uid="{56F87236-64AD-4703-9557-A2FF32F52084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2024.2.28张珺</t>
        </r>
      </text>
    </comment>
    <comment ref="B18" authorId="0" shapeId="0" xr:uid="{37D4350C-7052-486E-9DC0-0BE4FDF940F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原申请编号JLA-2311190，水洗磨毛布，改92门幅，编号手动替换，单价降0.1元/米</t>
        </r>
      </text>
    </comment>
    <comment ref="C18" authorId="0" shapeId="0" xr:uid="{EA7D7F0A-BB3E-467E-849F-519B6FCA8EE9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26/2+5+1.25=19.25
26/2+1.25=14.25
21*3+14.25*2=91.5</t>
        </r>
      </text>
    </comment>
    <comment ref="E18" authorId="0" shapeId="0" xr:uid="{AB237C2F-6D5F-45EA-8D0B-216C238671FD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26/2+5+1.25=19.25
26/2+1.25=14.25
21*3+14.25*2=91.5</t>
        </r>
      </text>
    </comment>
    <comment ref="G18" authorId="0" shapeId="0" xr:uid="{ABC8874D-9298-437A-8A0E-AAC36235ED16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36/2+5+1.25=24.25
36/2+1.25=19.25
24.25*3+19.25=92
21*3+14.25*2=91.5</t>
        </r>
      </text>
    </comment>
    <comment ref="B21" authorId="0" shapeId="0" xr:uid="{76D91026-C72B-4DEA-98E8-4190700AC07D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2023.3.30何师傅</t>
        </r>
      </text>
    </comment>
    <comment ref="C21" authorId="0" shapeId="0" xr:uid="{F8240832-EA81-48C2-9FB2-8D57F2394A3B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2023.3.30何师傅</t>
        </r>
      </text>
    </comment>
    <comment ref="D21" authorId="0" shapeId="0" xr:uid="{F13F8FA4-FF12-492B-A675-778EFDD838E3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2023.3.30何师傅</t>
        </r>
      </text>
    </comment>
    <comment ref="E21" authorId="0" shapeId="0" xr:uid="{A0CCA760-79BA-4222-B7E3-12CC0EA14EA7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2023.3.30何师傅</t>
        </r>
      </text>
    </comment>
    <comment ref="F21" authorId="0" shapeId="0" xr:uid="{712E61C3-8E80-474F-96AB-CBDA85413F8E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2023.3.30何师傅</t>
        </r>
      </text>
    </comment>
    <comment ref="G21" authorId="0" shapeId="0" xr:uid="{A5ECA858-4A15-4345-A9BB-85A60C93265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2023.3.30何师傅</t>
        </r>
      </text>
    </comment>
    <comment ref="B22" authorId="0" shapeId="0" xr:uid="{C92F5A02-00E0-4D13-92D8-8FB903E455F1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与正面面料绗缝抽皱，弹力布按照成品尺寸+缝位，正面是1：1.23的尺寸，一大一小绗缝后回缩形成抽皱效果
</t>
        </r>
      </text>
    </comment>
    <comment ref="C22" authorId="0" shapeId="0" xr:uid="{82F0D33D-FE0B-48B6-A7E5-F5DA5F7EEA6E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92"
21*4=84</t>
        </r>
      </text>
    </comment>
    <comment ref="D22" authorId="0" shapeId="0" xr:uid="{C362D1C4-BE2A-44CF-A495-AB8D35EB3136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与正面面料绗缝抽皱，弹力布按照成品尺寸+缝位，正面是1：1.23的尺寸，一大一小绗缝后回缩形成抽皱效果
</t>
        </r>
      </text>
    </comment>
    <comment ref="E22" authorId="0" shapeId="0" xr:uid="{807AE916-6C1E-4D78-9FCA-100176C946A8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21*4=84</t>
        </r>
      </text>
    </comment>
    <comment ref="F22" authorId="0" shapeId="0" xr:uid="{D5950FD3-AD12-431C-B9B5-7E744D7F404E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与正面面料绗缝抽皱，弹力布按照成品尺寸+缝位，正面是1：1.23的尺寸，一大一小绗缝后回缩形成抽皱效果
</t>
        </r>
      </text>
    </comment>
    <comment ref="C25" authorId="0" shapeId="0" xr:uid="{AE235803-2E95-4AD4-AAA5-E76E5C4935C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2024.3.29zhangjun</t>
        </r>
      </text>
    </comment>
    <comment ref="E25" authorId="0" shapeId="0" xr:uid="{9277E7FF-4555-4CA9-A070-4AC8F3EF7799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2024.3.29zhangjun</t>
        </r>
      </text>
    </comment>
    <comment ref="G25" authorId="0" shapeId="0" xr:uid="{597DFF2F-6FE5-481E-8510-AF4BC4123B1A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2024.3.29zhangjun</t>
        </r>
      </text>
    </comment>
    <comment ref="B30" authorId="0" shapeId="0" xr:uid="{93FE2C90-38F8-404E-AA8D-630083F832AA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实样，内棉拉得较薄</t>
        </r>
      </text>
    </comment>
    <comment ref="C30" authorId="0" shapeId="0" xr:uid="{B98FE05A-6FF5-4CB4-8837-F3F1062768BC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填充棉按照104门幅</t>
        </r>
      </text>
    </comment>
    <comment ref="B42" authorId="0" shapeId="0" xr:uid="{C6CD6BD1-2E34-40F5-AA7A-32675EEC91E8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2024.4.1fangzuping</t>
        </r>
      </text>
    </comment>
    <comment ref="D42" authorId="0" shapeId="0" xr:uid="{98DA2B45-3317-4DB0-AFA8-F21BCD6C856E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2024.4.1fangzuping</t>
        </r>
      </text>
    </comment>
    <comment ref="F42" authorId="0" shapeId="0" xr:uid="{BDD0E1AE-6131-4CCB-AB04-99D8360C413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2024.4.1fangzuping</t>
        </r>
      </text>
    </comment>
    <comment ref="B46" authorId="0" shapeId="0" xr:uid="{22BB1C2D-76B7-44B1-B1C8-924910800B45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2024.4.1fangzuping</t>
        </r>
      </text>
    </comment>
    <comment ref="D46" authorId="0" shapeId="0" xr:uid="{8E42C485-73C3-4CA8-BADD-089AF7A1F0E6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2024.4.1fangzuping</t>
        </r>
      </text>
    </comment>
    <comment ref="F46" authorId="0" shapeId="0" xr:uid="{62D54B57-D770-490D-A54A-454FCE7B5ED9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2024.4.1fangzuping</t>
        </r>
      </text>
    </comment>
    <comment ref="B54" authorId="0" shapeId="0" xr:uid="{765F5B22-7602-42A4-8596-10B2611AEF11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LC-220314-卷装
样品:
PP样每色一条
P样每色一条
留样每色一条
扣样一条
143*7/3200=0.313</t>
        </r>
      </text>
    </comment>
    <comment ref="D54" authorId="0" shapeId="0" xr:uid="{3D1752DB-D516-42CE-A80E-A40D6ED8319F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LC-220314-卷装
样品:
PP样每色一条
P样每色一条
留样每色一条
扣样一条
143*7/3200=0.313</t>
        </r>
      </text>
    </comment>
    <comment ref="F54" authorId="0" shapeId="0" xr:uid="{8871478F-F7C9-441E-8228-54FAC4C305F8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LC-220314-卷装
样品:
PP样每色一条
P样每色一条
留样每色一条
扣样一条
143*7/3200=0.313</t>
        </r>
      </text>
    </comment>
    <comment ref="B56" authorId="0" shapeId="0" xr:uid="{6A8DFA51-276D-49F3-A789-1683F81708D1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2023.1.4fangzuping</t>
        </r>
      </text>
    </comment>
    <comment ref="D56" authorId="0" shapeId="0" xr:uid="{4905BE55-7D83-43B0-9736-CD2C722BEDCB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2023.1.4fangzuping</t>
        </r>
      </text>
    </comment>
    <comment ref="F56" authorId="0" shapeId="0" xr:uid="{6A949D17-0DAC-453B-A283-A9EDE9721B47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2023.1.4fangzuping</t>
        </r>
      </text>
    </comment>
    <comment ref="B61" authorId="0" shapeId="0" xr:uid="{262846A3-171F-42F5-A3E6-DB98D3117600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ID-231185 ，200gsm单面水晶绒+95gsm水洗磨毛布，内充12 oz/yd2 羽丝棉，估22*20*”10/11/12“</t>
        </r>
      </text>
    </comment>
    <comment ref="D61" authorId="0" shapeId="0" xr:uid="{2EB01575-B5DB-4CBB-B66E-3BAF1417F661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ID-231185 ，200gsm单面水晶绒+95gsm水洗磨毛布，内充12 oz/yd2 羽丝棉，估22*20*”10/11/12“</t>
        </r>
      </text>
    </comment>
    <comment ref="F61" authorId="0" shapeId="0" xr:uid="{311361EE-1C18-4D98-A945-EFA773CDE93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ID-231185 ，200gsm单面水晶绒+95gsm水洗磨毛布，内充12 oz/yd2 羽丝棉，估22*20*”10/11/12“</t>
        </r>
      </text>
    </comment>
    <comment ref="A63" authorId="1" shapeId="0" xr:uid="{7F03B631-DC3E-42F6-BDE7-BE52F47990B8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当成箱要求更改时，该值会自动更改</t>
        </r>
      </text>
    </comment>
    <comment ref="B69" authorId="0" shapeId="0" xr:uid="{853E12D7-DF69-47C3-9938-012D79BAB767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利用弹力布回缩形成抽皱效果，单针绗缝长度正常</t>
        </r>
      </text>
    </comment>
    <comment ref="D69" authorId="0" shapeId="0" xr:uid="{6828D573-DF2B-4646-9E80-9DDB69D4D1F9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利用弹力布回缩形成抽皱效果，单针绗缝长度正常</t>
        </r>
      </text>
    </comment>
    <comment ref="F69" authorId="0" shapeId="0" xr:uid="{D8B20CD1-DCC7-40BF-BC80-E5779D821169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利用弹力布回缩形成抽皱效果，单针绗缝长度正常</t>
        </r>
      </text>
    </comment>
  </commentList>
</comments>
</file>

<file path=xl/sharedStrings.xml><?xml version="1.0" encoding="utf-8"?>
<sst xmlns="http://schemas.openxmlformats.org/spreadsheetml/2006/main" count="1092" uniqueCount="893">
  <si>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</si>
  <si>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</si>
  <si>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</si>
  <si>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</si>
  <si>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</si>
  <si>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</si>
  <si>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</si>
  <si>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</si>
  <si>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</si>
  <si>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</si>
  <si>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</si>
  <si>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</si>
  <si>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</si>
  <si>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</si>
  <si>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</si>
  <si>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</si>
  <si>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</si>
  <si>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</si>
  <si>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</si>
  <si>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</si>
  <si>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</si>
  <si>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</si>
  <si>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</si>
  <si>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</si>
  <si>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</si>
  <si>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</si>
  <si>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</si>
  <si>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</si>
  <si>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</si>
  <si>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</si>
  <si>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</si>
  <si>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</si>
  <si>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</si>
  <si>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</si>
  <si>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</si>
  <si>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</si>
  <si>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</si>
  <si>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</si>
  <si>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</si>
  <si>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</si>
  <si>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</si>
  <si>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</si>
  <si>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</si>
  <si>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</si>
  <si>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</si>
  <si>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</si>
  <si>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</si>
  <si>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</si>
  <si>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</si>
  <si>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</si>
  <si>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</si>
  <si>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</si>
  <si>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</si>
  <si>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</si>
  <si>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</si>
  <si>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</si>
  <si>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</si>
  <si>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</si>
  <si>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</si>
  <si>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</si>
  <si>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</si>
  <si>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</si>
  <si>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</si>
  <si>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</si>
  <si>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</si>
  <si>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</si>
  <si>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</si>
  <si>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</si>
  <si>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</si>
  <si>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</si>
  <si>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</si>
  <si>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</si>
  <si>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</si>
  <si>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</si>
  <si>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</si>
  <si>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</si>
  <si>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</si>
  <si>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</si>
  <si>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</si>
  <si>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</si>
  <si>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</si>
  <si>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</si>
  <si>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</si>
  <si>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</si>
  <si>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</si>
  <si>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</si>
  <si>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</si>
  <si>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</si>
  <si>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</si>
  <si>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</si>
  <si>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</si>
  <si>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</si>
  <si>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</si>
  <si>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</si>
  <si>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</si>
  <si>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</si>
  <si>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</si>
  <si>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</si>
  <si>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</si>
  <si>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</si>
  <si>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</si>
  <si>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</si>
  <si>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</si>
  <si>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</si>
  <si>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</si>
  <si>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</si>
  <si>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</si>
  <si>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</si>
  <si>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</si>
  <si>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</si>
  <si>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</si>
  <si>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</si>
  <si>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</si>
  <si>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</si>
  <si>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</si>
  <si>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</si>
  <si>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</si>
  <si>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</si>
  <si>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</si>
  <si>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</si>
  <si>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</si>
  <si>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</si>
  <si>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</si>
  <si>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</si>
  <si>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</si>
  <si>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</si>
  <si>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</si>
  <si>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</si>
  <si>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</si>
  <si>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</si>
  <si>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</si>
  <si>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</si>
  <si>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</si>
  <si>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</si>
  <si>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</si>
  <si>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</si>
  <si>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</si>
  <si>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</si>
  <si>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</si>
  <si>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</si>
  <si>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</si>
  <si>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</si>
  <si>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</si>
  <si>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</si>
  <si>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</si>
  <si>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</si>
  <si>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</si>
  <si>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</si>
  <si>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</si>
  <si>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</si>
  <si>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</si>
  <si>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</si>
  <si>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</si>
  <si>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</si>
  <si>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</si>
  <si>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</si>
  <si>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</si>
  <si>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</si>
  <si>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</si>
  <si>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</si>
  <si>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</si>
  <si>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</si>
  <si>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</si>
  <si>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</si>
  <si>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</si>
  <si>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</si>
  <si>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</si>
  <si>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</si>
  <si>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</si>
  <si>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</si>
  <si>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</si>
  <si>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</si>
  <si>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</si>
  <si>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</si>
  <si>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</si>
  <si>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</si>
  <si>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</si>
  <si>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</si>
  <si>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</si>
  <si>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</si>
  <si>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</si>
  <si>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</si>
  <si>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</si>
  <si>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</si>
  <si>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</si>
  <si>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</si>
  <si>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</si>
  <si>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</si>
  <si>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</si>
  <si>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</si>
  <si>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</si>
  <si>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</si>
  <si>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</si>
  <si>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</si>
  <si>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</si>
  <si>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</si>
  <si>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</si>
  <si>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</si>
  <si>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</si>
  <si>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</si>
  <si>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</si>
  <si>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</si>
  <si>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</si>
  <si>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</si>
  <si>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</si>
  <si>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</si>
  <si>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</si>
  <si>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</si>
  <si>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</si>
  <si>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</si>
  <si>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</si>
  <si>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</si>
  <si>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</si>
  <si>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</si>
  <si>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</si>
  <si>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</si>
  <si>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</si>
  <si>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</si>
  <si>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</si>
  <si>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</si>
  <si>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</si>
  <si>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</si>
  <si>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</si>
  <si>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</si>
  <si>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</si>
  <si>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</si>
  <si>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</si>
  <si>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</si>
  <si>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</si>
  <si>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</si>
  <si>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</si>
  <si>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</si>
  <si>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</si>
  <si>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</si>
  <si>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</si>
  <si>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</si>
  <si>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</si>
  <si>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</si>
  <si>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</si>
  <si>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</si>
  <si>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</si>
  <si>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</si>
  <si>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</si>
  <si>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</si>
  <si>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</si>
  <si>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</si>
  <si>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</si>
  <si>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</si>
  <si>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</si>
  <si>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</si>
  <si>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</si>
  <si>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</si>
  <si>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</si>
  <si>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</si>
  <si>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</si>
  <si>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</si>
  <si>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</si>
  <si>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</si>
  <si>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</si>
  <si>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</si>
  <si>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</si>
  <si>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</si>
  <si>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</si>
  <si>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</si>
  <si>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</si>
  <si>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</si>
  <si>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</si>
  <si>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</si>
  <si>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</si>
  <si>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</si>
  <si>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</si>
  <si>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</si>
  <si>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</si>
  <si>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</si>
  <si>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</si>
  <si>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</si>
  <si>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</si>
  <si>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</si>
  <si>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</si>
  <si>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</si>
  <si>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</si>
  <si>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</si>
  <si>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</si>
  <si>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</si>
  <si>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</si>
  <si>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</si>
  <si>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</si>
  <si>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</si>
  <si>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</si>
  <si>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</si>
  <si>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</si>
  <si>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</si>
  <si>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</si>
  <si>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</si>
  <si>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</si>
  <si>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</si>
  <si>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</si>
  <si>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</si>
  <si>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</si>
  <si>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</si>
  <si>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</si>
  <si>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</si>
  <si>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</si>
  <si>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</si>
  <si>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</si>
  <si>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</si>
  <si>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</si>
  <si>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</si>
  <si>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</si>
  <si>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</si>
  <si>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</si>
  <si>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</si>
  <si>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</si>
  <si>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</si>
  <si>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</si>
  <si>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</si>
  <si>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</si>
  <si>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</si>
  <si>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</si>
  <si>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</si>
  <si>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</si>
  <si>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</si>
  <si>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</si>
  <si>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</si>
  <si>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</si>
  <si>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</si>
  <si>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</si>
  <si>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</si>
  <si>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</si>
  <si>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</si>
  <si>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</si>
  <si>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</si>
  <si>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</si>
  <si>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</si>
  <si>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</si>
  <si>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</si>
  <si>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</si>
  <si>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</si>
  <si>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</si>
  <si>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</si>
  <si>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</si>
  <si>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</si>
  <si>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</si>
  <si>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</si>
  <si>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</si>
  <si>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</si>
  <si>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</si>
  <si>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</si>
  <si>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</si>
  <si>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</si>
  <si>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</si>
  <si>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</si>
  <si>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</si>
  <si>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</si>
  <si>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</si>
  <si>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</si>
  <si>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</si>
  <si>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</si>
  <si>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</si>
  <si>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</si>
  <si>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</si>
  <si>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</si>
  <si>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</si>
  <si>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</si>
  <si>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</si>
  <si>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</si>
  <si>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</si>
  <si>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</si>
  <si>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</si>
  <si>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</si>
  <si>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</si>
  <si>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</si>
  <si>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</si>
  <si>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</si>
  <si>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</si>
  <si>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</si>
  <si>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</si>
  <si>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</si>
  <si>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</si>
  <si>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</si>
  <si>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</si>
  <si>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</si>
  <si>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</si>
  <si>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</si>
  <si>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</si>
  <si>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</si>
  <si>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</si>
  <si>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</si>
  <si>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</si>
  <si>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</si>
  <si>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</si>
  <si>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</si>
  <si>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</si>
  <si>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</si>
  <si>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</si>
  <si>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</si>
  <si>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</si>
  <si>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</si>
  <si>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</si>
  <si>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</si>
  <si>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</si>
  <si>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</si>
  <si>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</si>
  <si>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</si>
  <si>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</si>
  <si>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</si>
  <si>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</si>
  <si>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</si>
  <si>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</si>
  <si>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</si>
  <si>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</si>
  <si>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</si>
  <si>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</si>
  <si>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</si>
  <si>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</si>
  <si>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</si>
  <si>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</si>
  <si>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</si>
  <si>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</si>
  <si>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</si>
  <si>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</si>
  <si>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</si>
  <si>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</si>
  <si>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</si>
  <si>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</si>
  <si>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</si>
  <si>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</si>
  <si>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</si>
  <si>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</si>
  <si>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</si>
  <si>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</si>
  <si>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</si>
  <si>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</si>
  <si>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</si>
  <si>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</si>
  <si>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</si>
  <si>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</si>
  <si>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</si>
  <si>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</si>
  <si>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</si>
  <si>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</si>
  <si>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</si>
  <si>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</si>
  <si>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</si>
  <si>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</si>
  <si>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</si>
  <si>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</si>
  <si>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</si>
  <si>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</si>
  <si>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</si>
  <si>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</si>
  <si>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</si>
  <si>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</si>
  <si>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</si>
  <si>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</si>
  <si>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</si>
  <si>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</si>
  <si>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</si>
  <si>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</si>
  <si>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</si>
  <si>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</si>
  <si>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</si>
  <si>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</si>
  <si>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</si>
  <si>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</si>
  <si>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</si>
  <si>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</si>
  <si>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</si>
  <si>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</si>
  <si>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</si>
  <si>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</si>
  <si>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</si>
  <si>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</si>
  <si>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</si>
  <si>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</si>
  <si>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</si>
  <si>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</si>
  <si>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</si>
  <si>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</si>
  <si>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</si>
  <si>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</si>
  <si>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</si>
  <si>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</si>
  <si>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</si>
  <si>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</si>
  <si>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</si>
  <si>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</si>
  <si>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</si>
  <si>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</si>
  <si>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</si>
  <si>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</si>
  <si>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</si>
  <si>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</si>
  <si>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</si>
  <si>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</si>
  <si>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</si>
  <si>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</si>
  <si>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</si>
  <si>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</si>
  <si>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</si>
  <si>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</si>
  <si>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</si>
  <si>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</si>
  <si>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</si>
  <si>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</si>
  <si>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</si>
  <si>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</si>
  <si>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</si>
  <si>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</si>
  <si>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</si>
  <si>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</si>
  <si>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</si>
  <si>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</si>
  <si>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</si>
  <si>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</si>
  <si>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</si>
  <si>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</si>
  <si>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</si>
  <si>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</si>
  <si>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</si>
  <si>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</si>
  <si>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</si>
  <si>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</si>
  <si>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</si>
  <si>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</si>
  <si>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</si>
  <si>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</si>
  <si>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</si>
  <si>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</si>
  <si>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</si>
  <si>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</si>
  <si>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</si>
  <si>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</si>
  <si>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</si>
  <si>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</si>
  <si>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</si>
  <si>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</si>
  <si>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</si>
  <si>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</si>
  <si>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</si>
  <si>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</si>
  <si>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</si>
  <si>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</si>
  <si>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</si>
  <si>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</si>
  <si>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</si>
  <si>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</si>
  <si>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</si>
  <si>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</si>
  <si>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</si>
  <si>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</si>
  <si>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</si>
  <si>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</si>
  <si>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</si>
  <si>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</si>
  <si>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</si>
  <si>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</si>
  <si>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</si>
  <si>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</si>
  <si>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</si>
  <si>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</si>
  <si>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</si>
  <si>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</si>
  <si>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</si>
  <si>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</si>
  <si>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</si>
  <si>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</si>
  <si>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</si>
  <si>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</si>
  <si>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</si>
  <si>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</si>
  <si>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</si>
  <si>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</si>
  <si>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</si>
  <si>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</si>
  <si>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</si>
  <si>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</si>
  <si>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</si>
  <si>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</si>
  <si>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</si>
  <si>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</si>
  <si>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</si>
  <si>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</si>
  <si>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</si>
  <si>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</si>
  <si>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</si>
  <si>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</si>
  <si>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</si>
  <si>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</si>
  <si>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</si>
  <si>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</si>
  <si>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</si>
  <si>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</si>
  <si>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</si>
  <si>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</si>
  <si>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</si>
  <si>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</si>
  <si>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</si>
  <si>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</si>
  <si>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</si>
  <si>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</si>
  <si>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</si>
  <si>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</si>
  <si>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</si>
  <si>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</si>
  <si>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</si>
  <si>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</si>
  <si>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</si>
  <si>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</si>
  <si>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</si>
  <si>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</si>
  <si>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</si>
  <si>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</si>
  <si>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</si>
  <si>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</si>
  <si>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</si>
  <si>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</si>
  <si>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</si>
  <si>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</si>
  <si>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</si>
  <si>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</si>
  <si>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</si>
  <si>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</si>
  <si>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</si>
  <si>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</si>
  <si>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</si>
  <si>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</si>
  <si>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</si>
  <si>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</si>
  <si>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</si>
  <si>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</si>
  <si>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</si>
  <si>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</si>
  <si>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</si>
  <si>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</si>
  <si>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</si>
  <si>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</si>
  <si>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</si>
  <si>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</si>
  <si>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</si>
  <si>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</si>
  <si>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</si>
  <si>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</si>
  <si>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</si>
  <si>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</si>
  <si>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</si>
  <si>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</si>
  <si>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</si>
  <si>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</si>
  <si>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</si>
  <si>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</si>
  <si>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</si>
  <si>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</si>
  <si>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</si>
  <si>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</si>
  <si>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</si>
  <si>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</si>
  <si>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</si>
  <si>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</si>
  <si>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</si>
  <si>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</si>
  <si>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</si>
  <si>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</si>
  <si>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</si>
  <si>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</si>
  <si>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</si>
  <si>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</si>
  <si>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</si>
  <si>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</si>
  <si>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</si>
  <si>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</si>
  <si>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</si>
  <si>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Quote Sheet Template: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</si>
  <si>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</si>
  <si>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</si>
  <si>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</si>
  <si>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</si>
  <si>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</si>
  <si>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</si>
  <si>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</si>
  <si>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</si>
  <si>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</si>
  <si>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</si>
  <si>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</si>
  <si>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</si>
  <si>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</si>
  <si>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</si>
  <si>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</si>
  <si>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</si>
  <si>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</si>
  <si>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</si>
  <si>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</si>
  <si>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</si>
  <si>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</si>
  <si>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</si>
  <si>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</si>
  <si>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</si>
  <si>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</si>
  <si>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</si>
  <si>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</si>
  <si>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</si>
  <si>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</si>
  <si>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</si>
  <si>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</si>
  <si>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</si>
  <si>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</si>
  <si>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</si>
  <si>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</si>
  <si>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</si>
  <si>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</si>
  <si>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</si>
  <si>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</si>
  <si>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</si>
  <si>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</si>
  <si>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</si>
  <si>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</si>
  <si>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</si>
  <si>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</si>
  <si>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</si>
  <si>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</si>
  <si>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</si>
  <si>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</si>
  <si>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</si>
  <si>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</si>
  <si>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</si>
  <si>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</si>
  <si>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</si>
  <si>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</si>
  <si>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</si>
  <si>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</si>
  <si>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</si>
  <si>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</si>
  <si>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</si>
  <si>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</si>
  <si>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</si>
  <si>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</si>
  <si>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</si>
  <si>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</si>
  <si>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</si>
  <si>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</si>
  <si>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</si>
  <si>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</si>
  <si>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</si>
  <si>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</si>
  <si>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</si>
  <si>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</si>
  <si>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</si>
  <si>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</si>
  <si>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</si>
  <si>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</si>
  <si>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</si>
  <si>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2025 BASI BLK DI</t>
  </si>
  <si>
    <t>2025 BASI BLK POE</t>
  </si>
  <si>
    <t>2025 BASI BLK Domestic</t>
  </si>
  <si>
    <t>2025 BASI BLK JLA Fixed Markup</t>
  </si>
  <si>
    <t>2025 BASI BLK Amazon 1P</t>
  </si>
  <si>
    <t>2025 BASI BLK Walmart DI</t>
  </si>
  <si>
    <t>Product Category</t>
  </si>
  <si>
    <t>2025 BASI BLK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</si>
  <si>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</si>
  <si>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</si>
  <si>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</si>
  <si>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</si>
  <si>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</si>
  <si>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</si>
  <si>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</si>
  <si>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</si>
  <si>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</si>
  <si>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</si>
  <si>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</si>
  <si>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</si>
  <si>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</si>
  <si>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</si>
  <si>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</si>
  <si>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</si>
  <si>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</si>
  <si>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</si>
  <si>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</si>
  <si>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</si>
  <si>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</si>
  <si>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</si>
  <si>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</si>
  <si>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</si>
  <si>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</si>
  <si>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</si>
  <si>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Category (do not use)</t>
  </si>
  <si>
    <t>AT HOME DI</t>
  </si>
  <si>
    <t>At Home</t>
  </si>
  <si>
    <t>ATHOME</t>
  </si>
  <si>
    <t>Material-Short</t>
  </si>
  <si>
    <t>ZPP (POE Shipments)</t>
  </si>
  <si>
    <t>Compressed/Knocked Down</t>
  </si>
  <si>
    <t>Additional Customer Price</t>
  </si>
  <si>
    <t>Additional Customer Item#</t>
  </si>
  <si>
    <t>核价表编号：</t>
  </si>
  <si>
    <t>系列开发项目名称：</t>
  </si>
  <si>
    <t>产品英文名称：</t>
  </si>
  <si>
    <t>客  户：</t>
  </si>
  <si>
    <t>总部负责人：</t>
  </si>
  <si>
    <t>订单数量（quantity)</t>
  </si>
  <si>
    <t>产品类别（item)</t>
  </si>
  <si>
    <t>化纤被</t>
  </si>
  <si>
    <t>款式描述      (Description)</t>
  </si>
  <si>
    <t>成品规格                                  （specification)</t>
  </si>
  <si>
    <t>主面料名称#1</t>
  </si>
  <si>
    <t>单价</t>
  </si>
  <si>
    <t>用量</t>
  </si>
  <si>
    <t>金额</t>
  </si>
  <si>
    <t>主面料名称#2</t>
  </si>
  <si>
    <t>主面料名称#3</t>
  </si>
  <si>
    <t>主面料小计</t>
  </si>
  <si>
    <t>辅料，包装，其它名称#1</t>
  </si>
  <si>
    <t>辅料，包装，其它名称#2</t>
  </si>
  <si>
    <t>干燥剂</t>
  </si>
  <si>
    <t>辅料，包装，其它名称#3</t>
  </si>
  <si>
    <t>辅料，包装，其它名称#4</t>
  </si>
  <si>
    <t>辅料，包装，其它名称#5</t>
  </si>
  <si>
    <t>thread</t>
  </si>
  <si>
    <t>辅料，包装，其它名称#6</t>
  </si>
  <si>
    <t>辅料，包装，其它名称#7</t>
  </si>
  <si>
    <t>辅料，包装，其它名称#8</t>
  </si>
  <si>
    <t>辅料，包装，其它名称#9</t>
  </si>
  <si>
    <t>辅料，包装，其它名称#10</t>
  </si>
  <si>
    <t>纸箱长（厘米）</t>
  </si>
  <si>
    <t>纸箱宽（厘米）</t>
  </si>
  <si>
    <t>纸箱高（厘米）</t>
  </si>
  <si>
    <t>成箱方式（每箱）</t>
  </si>
  <si>
    <t>纸箱单价</t>
  </si>
  <si>
    <t>辅料，包装，其它小计</t>
  </si>
  <si>
    <t>主、辅料、包装其他小计</t>
  </si>
  <si>
    <t>工缴</t>
  </si>
  <si>
    <t>运、杂费</t>
  </si>
  <si>
    <t>利税</t>
  </si>
  <si>
    <t>换汇</t>
  </si>
  <si>
    <t>配额费</t>
  </si>
  <si>
    <t>辅工等费用小计</t>
  </si>
  <si>
    <t>出厂价位</t>
  </si>
  <si>
    <t>美 元 价</t>
  </si>
  <si>
    <t>含利税美金价</t>
  </si>
  <si>
    <t>9404.90.9012</t>
  </si>
  <si>
    <t>Ochre</t>
  </si>
  <si>
    <t>July 15th</t>
  </si>
  <si>
    <t>Puffy Velvet Comforter Set</t>
  </si>
  <si>
    <t>Velvet Comforter Set</t>
  </si>
  <si>
    <t>Comforter: 200gsm Solid Velvet to 85gsm Solid Microfiber, 12oz/yd2 Poly Fiber Filling, Ruched on top and Jump Tack Stitched with Knife Edge
Sham: Overlap Open on Back with Knife Edge
Package: Wire Rim Bag + Insert, Case Pack 2</t>
  </si>
  <si>
    <t>100% Poly 200gsm Velvet, 100% Poly 85gsm Microfiber, 12oz/yd2 Poly Fiber Filling</t>
  </si>
  <si>
    <t>Cream</t>
  </si>
  <si>
    <t>LC251211-Puff</t>
    <phoneticPr fontId="8" type="noConversion"/>
  </si>
  <si>
    <t>报价性质：</t>
  </si>
  <si>
    <t>杭办核价人：</t>
  </si>
  <si>
    <t>杭办报价人：</t>
  </si>
  <si>
    <t>tongxiaomei</t>
    <phoneticPr fontId="16" type="noConversion"/>
  </si>
  <si>
    <t>报价日期：</t>
  </si>
  <si>
    <t>2024.3.29</t>
    <phoneticPr fontId="16" type="noConversion"/>
  </si>
  <si>
    <t>JLA# 款号</t>
  </si>
  <si>
    <t>CSTM# 款号</t>
  </si>
  <si>
    <t>MOQ：按约1100条核</t>
    <phoneticPr fontId="16" type="noConversion"/>
  </si>
  <si>
    <t>枕套</t>
    <phoneticPr fontId="0" type="noConversion"/>
  </si>
  <si>
    <t>正面：200gsm 全涤水晶超柔素色+6oz/y2 6D羽丝棉+160gsm弹力布(95%涤5%氨纶)，三层单针绗6“方格，背面：85gsm 全涤素色桃皮绒
款式：刀口式，6oz/y2 6D 羽丝棉+背面面料一起绗点绗，绗好后与正面合缝。
包装：钢丝袋+彩卡，2条/箱</t>
    <phoneticPr fontId="16" type="noConversion"/>
  </si>
  <si>
    <t>正面：200gsm 水晶绒，填充6oz/yds 羽丝棉+160gsm氨纶布，三层绗6"格子绗缝，背面：85gsm全涤素色磨毛布，内衬涤丝纺漂白色，背面居中开口，5"叠门，正背面合缝。</t>
    <phoneticPr fontId="16" type="noConversion"/>
  </si>
  <si>
    <t xml:space="preserve">68*90“    </t>
    <phoneticPr fontId="16" type="noConversion"/>
  </si>
  <si>
    <t>20*26“-1pc</t>
    <phoneticPr fontId="6" type="noConversion"/>
  </si>
  <si>
    <t>90*90“</t>
    <phoneticPr fontId="16" type="noConversion"/>
  </si>
  <si>
    <t>20*26“-2pc</t>
    <phoneticPr fontId="6" type="noConversion"/>
  </si>
  <si>
    <t>104*90”</t>
    <phoneticPr fontId="16" type="noConversion"/>
  </si>
  <si>
    <t>20*36“-2pc</t>
    <phoneticPr fontId="6" type="noConversion"/>
  </si>
  <si>
    <t>200gsm 全涤水晶超柔，素色--114“</t>
    <phoneticPr fontId="16" type="noConversion"/>
  </si>
  <si>
    <t>85gsm 全涤桃皮绒，素色--92”</t>
    <phoneticPr fontId="16" type="noConversion"/>
  </si>
  <si>
    <r>
      <t>160gsm弹力布(95%涤5%氨纶)，漂白色--</t>
    </r>
    <r>
      <rPr>
        <sz val="9"/>
        <color rgb="FFFF0000"/>
        <rFont val="微软雅黑"/>
        <family val="2"/>
        <charset val="134"/>
      </rPr>
      <t>92“</t>
    </r>
  </si>
  <si>
    <t>160gsm弹力布(95%涤5%氨纶)，漂白色--88“</t>
    <phoneticPr fontId="16" type="noConversion"/>
  </si>
  <si>
    <t>主面料名称#4</t>
    <phoneticPr fontId="16" type="noConversion"/>
  </si>
  <si>
    <t>50gsm涤丝纺,  63D*63D,110*78，漂白色-62”</t>
    <phoneticPr fontId="0" type="noConversion"/>
  </si>
  <si>
    <t>主面料名称#5</t>
    <phoneticPr fontId="16" type="noConversion"/>
  </si>
  <si>
    <t>6oz/y2 6D  羽丝棉</t>
    <phoneticPr fontId="0" type="noConversion"/>
  </si>
  <si>
    <t>美国法标4.75*2.25"+洗标5.5*1.75“</t>
    <phoneticPr fontId="6" type="noConversion"/>
  </si>
  <si>
    <t>洗标5.5*1.75“</t>
    <phoneticPr fontId="6" type="noConversion"/>
  </si>
  <si>
    <t>14S无毒PVC钢丝袋22*20*”10/11/12“</t>
    <phoneticPr fontId="0" type="noConversion"/>
  </si>
  <si>
    <t>彩卡</t>
    <phoneticPr fontId="0" type="noConversion"/>
  </si>
  <si>
    <t>样品费,不含其他订单，后续翻单要取消</t>
    <phoneticPr fontId="12" type="noConversion"/>
  </si>
  <si>
    <t>价格贴5cmx2.8cm</t>
    <phoneticPr fontId="0" type="noConversion"/>
  </si>
  <si>
    <t>封箱带+天地盖</t>
  </si>
  <si>
    <t>合计</t>
    <phoneticPr fontId="16" type="noConversion"/>
  </si>
  <si>
    <t>建议报价 丹阳丽娜
251211</t>
    <phoneticPr fontId="16" type="noConversion"/>
  </si>
  <si>
    <t>68x90" 20x26" -1pc</t>
    <phoneticPr fontId="29" type="noConversion"/>
  </si>
  <si>
    <t>90x90"20x26" -2pc</t>
    <phoneticPr fontId="29" type="noConversion"/>
  </si>
  <si>
    <t>104x90" 20x36" - 2pcs</t>
    <phoneticPr fontId="29" type="noConversion"/>
  </si>
  <si>
    <t>Puffy Velvet</t>
  </si>
  <si>
    <t>LC10-2195</t>
    <phoneticPr fontId="30" type="noConversion"/>
  </si>
  <si>
    <t>LC10-2196</t>
  </si>
  <si>
    <t>LC10-2197</t>
  </si>
  <si>
    <t>LC10-2198</t>
  </si>
  <si>
    <t>LC10-2199</t>
  </si>
  <si>
    <t>LC10-2200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</si>
</sst>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;\-[$$-409]#,##0.0"/>
    <numFmt numFmtId="182" formatCode="0.00_ "/>
    <numFmt numFmtId="183" formatCode="0.00_);[Red]\(0.00\)"/>
    <numFmt numFmtId="184" formatCode="#,##0.00_ "/>
    <numFmt numFmtId="185" formatCode="&quot;¥&quot;#,##0.00_);[Red]\(&quot;¥&quot;#,##0.00\)"/>
    <numFmt numFmtId="186" formatCode="_ [$¥-804]* #,##0.00_ ;_ [$¥-804]* \-#,##0.00_ ;_ [$¥-804]* &quot;-&quot;??_ ;_ @_ "/>
    <numFmt numFmtId="187" formatCode="[$$-481]#,##0.000_);[Red]\([$$-481]#,##0.000\)"/>
    <numFmt numFmtId="188" formatCode="#,##0.000_);[Red]\(#,##0.000\)"/>
    <numFmt numFmtId="189" formatCode="\$#,##0.00;\-\$#,##0.00"/>
  </numFmts>
  <fonts count="3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6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sz val="12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indexed="18"/>
      <name val="微软雅黑"/>
      <family val="2"/>
      <charset val="134"/>
    </font>
    <font>
      <b/>
      <sz val="9"/>
      <color indexed="18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4" fillId="0" borderId="0">
      <alignment vertical="center"/>
    </xf>
    <xf numFmtId="181" fontId="4" fillId="0" borderId="0"/>
    <xf numFmtId="181" fontId="20" fillId="0" borderId="0"/>
    <xf numFmtId="187" fontId="18" fillId="0" borderId="0"/>
    <xf numFmtId="187" fontId="18" fillId="0" borderId="0"/>
    <xf numFmtId="187" fontId="4" fillId="0" borderId="0"/>
    <xf numFmtId="187" fontId="4" fillId="0" borderId="0"/>
    <xf numFmtId="187" fontId="18" fillId="0" borderId="0"/>
    <xf numFmtId="187" fontId="4" fillId="0" borderId="0"/>
    <xf numFmtId="187" fontId="18" fillId="0" borderId="0"/>
    <xf numFmtId="187" fontId="18" fillId="0" borderId="0"/>
    <xf numFmtId="187" fontId="4" fillId="0" borderId="0" applyProtection="0"/>
    <xf numFmtId="187" fontId="4" fillId="0" borderId="0"/>
    <xf numFmtId="187" fontId="18" fillId="0" borderId="0"/>
    <xf numFmtId="187" fontId="1" fillId="0" borderId="0"/>
    <xf numFmtId="187" fontId="18" fillId="0" borderId="0"/>
    <xf numFmtId="187" fontId="4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4" fillId="0" borderId="0"/>
    <xf numFmtId="187" fontId="18" fillId="0" borderId="0"/>
    <xf numFmtId="187" fontId="18" fillId="0" borderId="0"/>
  </cellStyleXfs>
  <cellXfs count="164">
    <xf numFmtId="0" fontId="0" fillId="0" borderId="0" xfId="0"/>
    <xf numFmtId="9" fontId="0" fillId="0" borderId="0" xfId="0" applyNumberForma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0" borderId="1" xfId="0" applyBorder="1" applyAlignment="1">
      <alignment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13" fillId="4" borderId="1" xfId="1" applyNumberFormat="1" applyFont="1" applyFill="1" applyBorder="1" applyAlignment="1">
      <alignment wrapText="1"/>
    </xf>
    <xf numFmtId="177" fontId="2" fillId="7" borderId="3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13" fillId="0" borderId="1" xfId="1" applyNumberFormat="1" applyFont="1" applyBorder="1" applyAlignment="1">
      <alignment wrapText="1"/>
    </xf>
    <xf numFmtId="177" fontId="1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13" fillId="6" borderId="1" xfId="1" applyNumberFormat="1" applyFont="1" applyFill="1" applyBorder="1" applyAlignment="1">
      <alignment wrapText="1"/>
    </xf>
    <xf numFmtId="0" fontId="13" fillId="5" borderId="1" xfId="1" applyFont="1" applyFill="1" applyBorder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0" fontId="14" fillId="0" borderId="0" xfId="0" applyNumberFormat="1" applyFont="1" applyAlignment="1">
      <alignment horizontal="center" wrapText="1"/>
    </xf>
    <xf numFmtId="177" fontId="15" fillId="3" borderId="3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1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177" fontId="15" fillId="5" borderId="3" xfId="1" applyNumberFormat="1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77" fontId="0" fillId="2" borderId="1" xfId="5" applyNumberFormat="1" applyFont="1" applyFill="1" applyBorder="1" applyAlignment="1">
      <alignment horizontal="left" vertical="center" wrapText="1"/>
    </xf>
    <xf numFmtId="177" fontId="0" fillId="0" borderId="3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86" fontId="0" fillId="0" borderId="1" xfId="0" applyNumberFormat="1" applyBorder="1" applyAlignment="1">
      <alignment horizontal="left" vertical="center" wrapText="1"/>
    </xf>
    <xf numFmtId="182" fontId="19" fillId="0" borderId="1" xfId="10" applyNumberFormat="1" applyFont="1" applyBorder="1" applyAlignment="1">
      <alignment horizontal="center" vertical="center" wrapText="1"/>
    </xf>
    <xf numFmtId="182" fontId="19" fillId="0" borderId="1" xfId="11" applyNumberFormat="1" applyFont="1" applyBorder="1" applyAlignment="1">
      <alignment horizontal="center" vertical="center" wrapText="1"/>
    </xf>
    <xf numFmtId="187" fontId="17" fillId="0" borderId="0" xfId="10" applyFont="1"/>
    <xf numFmtId="187" fontId="19" fillId="0" borderId="1" xfId="10" applyFont="1" applyBorder="1" applyAlignment="1">
      <alignment horizontal="center" vertical="center" wrapText="1"/>
    </xf>
    <xf numFmtId="187" fontId="19" fillId="0" borderId="1" xfId="11" applyFont="1" applyBorder="1" applyAlignment="1">
      <alignment horizontal="center" vertical="center" wrapText="1"/>
    </xf>
    <xf numFmtId="187" fontId="17" fillId="0" borderId="1" xfId="11" applyFont="1" applyBorder="1" applyAlignment="1">
      <alignment horizontal="center" vertical="center" wrapText="1"/>
    </xf>
    <xf numFmtId="187" fontId="19" fillId="0" borderId="1" xfId="12" applyFont="1" applyBorder="1" applyAlignment="1">
      <alignment horizontal="center" vertical="center" wrapText="1"/>
    </xf>
    <xf numFmtId="187" fontId="25" fillId="10" borderId="1" xfId="12" applyFont="1" applyFill="1" applyBorder="1" applyAlignment="1">
      <alignment horizontal="center" vertical="center" wrapText="1"/>
    </xf>
    <xf numFmtId="187" fontId="17" fillId="10" borderId="1" xfId="12" applyFont="1" applyFill="1" applyBorder="1" applyAlignment="1">
      <alignment horizontal="center" vertical="center" wrapText="1"/>
    </xf>
    <xf numFmtId="187" fontId="17" fillId="10" borderId="1" xfId="13" applyFont="1" applyFill="1" applyBorder="1" applyAlignment="1">
      <alignment horizontal="center" vertical="center" wrapText="1"/>
    </xf>
    <xf numFmtId="187" fontId="22" fillId="10" borderId="1" xfId="12" applyFont="1" applyFill="1" applyBorder="1" applyAlignment="1">
      <alignment horizontal="center" vertical="center" wrapText="1"/>
    </xf>
    <xf numFmtId="187" fontId="19" fillId="10" borderId="1" xfId="13" applyFont="1" applyFill="1" applyBorder="1" applyAlignment="1">
      <alignment vertical="center" wrapText="1"/>
    </xf>
    <xf numFmtId="187" fontId="17" fillId="6" borderId="1" xfId="12" applyFont="1" applyFill="1" applyBorder="1" applyAlignment="1">
      <alignment horizontal="center" vertical="center" wrapText="1"/>
    </xf>
    <xf numFmtId="187" fontId="19" fillId="10" borderId="1" xfId="12" applyFont="1" applyFill="1" applyBorder="1" applyAlignment="1">
      <alignment horizontal="center" vertical="center" wrapText="1"/>
    </xf>
    <xf numFmtId="187" fontId="25" fillId="10" borderId="1" xfId="12" applyFont="1" applyFill="1" applyBorder="1" applyAlignment="1">
      <alignment horizontal="center" vertical="center" wrapText="1" shrinkToFit="1"/>
    </xf>
    <xf numFmtId="187" fontId="21" fillId="16" borderId="1" xfId="14" applyFont="1" applyFill="1" applyBorder="1" applyAlignment="1">
      <alignment horizontal="center" vertical="center" wrapText="1"/>
    </xf>
    <xf numFmtId="187" fontId="17" fillId="10" borderId="1" xfId="15" applyFont="1" applyFill="1" applyBorder="1" applyAlignment="1">
      <alignment horizontal="center" vertical="center" wrapText="1"/>
    </xf>
    <xf numFmtId="187" fontId="25" fillId="11" borderId="1" xfId="12" applyFont="1" applyFill="1" applyBorder="1" applyAlignment="1">
      <alignment horizontal="center" vertical="center" wrapText="1"/>
    </xf>
    <xf numFmtId="187" fontId="17" fillId="11" borderId="1" xfId="12" applyFont="1" applyFill="1" applyBorder="1" applyAlignment="1">
      <alignment horizontal="center" vertical="center" wrapText="1"/>
    </xf>
    <xf numFmtId="183" fontId="17" fillId="9" borderId="1" xfId="16" applyNumberFormat="1" applyFont="1" applyFill="1" applyBorder="1" applyAlignment="1">
      <alignment horizontal="center"/>
    </xf>
    <xf numFmtId="183" fontId="17" fillId="9" borderId="1" xfId="17" applyNumberFormat="1" applyFont="1" applyFill="1" applyBorder="1" applyAlignment="1">
      <alignment horizontal="center"/>
    </xf>
    <xf numFmtId="183" fontId="17" fillId="0" borderId="1" xfId="18" applyNumberFormat="1" applyFont="1" applyBorder="1" applyAlignment="1">
      <alignment horizontal="center"/>
    </xf>
    <xf numFmtId="2" fontId="17" fillId="9" borderId="1" xfId="19" applyNumberFormat="1" applyFont="1" applyFill="1" applyBorder="1" applyAlignment="1">
      <alignment horizontal="center" vertical="center" wrapText="1"/>
    </xf>
    <xf numFmtId="183" fontId="17" fillId="9" borderId="1" xfId="20" applyNumberFormat="1" applyFont="1" applyFill="1" applyBorder="1" applyAlignment="1">
      <alignment horizontal="center"/>
    </xf>
    <xf numFmtId="4" fontId="17" fillId="0" borderId="1" xfId="12" applyNumberFormat="1" applyFont="1" applyBorder="1" applyAlignment="1">
      <alignment horizontal="center"/>
    </xf>
    <xf numFmtId="183" fontId="17" fillId="0" borderId="1" xfId="18" applyNumberFormat="1" applyFont="1" applyBorder="1" applyAlignment="1">
      <alignment horizontal="center" vertical="center" wrapText="1"/>
    </xf>
    <xf numFmtId="2" fontId="17" fillId="0" borderId="1" xfId="16" applyNumberFormat="1" applyFont="1" applyBorder="1" applyAlignment="1">
      <alignment horizontal="center" vertical="center" wrapText="1"/>
    </xf>
    <xf numFmtId="2" fontId="17" fillId="0" borderId="1" xfId="18" applyNumberFormat="1" applyFont="1" applyBorder="1" applyAlignment="1">
      <alignment horizontal="center" vertical="center" wrapText="1"/>
    </xf>
    <xf numFmtId="187" fontId="17" fillId="11" borderId="1" xfId="18" applyFont="1" applyFill="1" applyBorder="1" applyAlignment="1">
      <alignment horizontal="center" vertical="center" wrapText="1"/>
    </xf>
    <xf numFmtId="2" fontId="17" fillId="9" borderId="1" xfId="18" applyNumberFormat="1" applyFont="1" applyFill="1" applyBorder="1" applyAlignment="1">
      <alignment horizontal="center"/>
    </xf>
    <xf numFmtId="182" fontId="17" fillId="0" borderId="1" xfId="21" applyNumberFormat="1" applyFont="1" applyBorder="1" applyAlignment="1">
      <alignment horizontal="center"/>
    </xf>
    <xf numFmtId="2" fontId="17" fillId="0" borderId="1" xfId="21" applyNumberFormat="1" applyFont="1" applyBorder="1" applyAlignment="1">
      <alignment horizontal="center"/>
    </xf>
    <xf numFmtId="4" fontId="17" fillId="0" borderId="1" xfId="18" applyNumberFormat="1" applyFont="1" applyBorder="1" applyAlignment="1">
      <alignment horizontal="center"/>
    </xf>
    <xf numFmtId="2" fontId="17" fillId="0" borderId="1" xfId="18" applyNumberFormat="1" applyFont="1" applyBorder="1" applyAlignment="1">
      <alignment horizontal="center"/>
    </xf>
    <xf numFmtId="187" fontId="26" fillId="12" borderId="1" xfId="12" applyFont="1" applyFill="1" applyBorder="1" applyAlignment="1">
      <alignment horizontal="center" vertical="center" wrapText="1"/>
    </xf>
    <xf numFmtId="184" fontId="17" fillId="12" borderId="1" xfId="12" applyNumberFormat="1" applyFont="1" applyFill="1" applyBorder="1" applyAlignment="1">
      <alignment horizontal="center" vertical="center" wrapText="1"/>
    </xf>
    <xf numFmtId="187" fontId="17" fillId="11" borderId="1" xfId="13" applyFont="1" applyFill="1" applyBorder="1" applyAlignment="1">
      <alignment horizontal="center" vertical="center" wrapText="1"/>
    </xf>
    <xf numFmtId="40" fontId="17" fillId="0" borderId="1" xfId="12" applyNumberFormat="1" applyFont="1" applyBorder="1" applyAlignment="1">
      <alignment horizontal="center" vertical="center" wrapText="1"/>
    </xf>
    <xf numFmtId="183" fontId="17" fillId="9" borderId="1" xfId="18" applyNumberFormat="1" applyFont="1" applyFill="1" applyBorder="1" applyAlignment="1">
      <alignment horizontal="center" vertical="center" wrapText="1"/>
    </xf>
    <xf numFmtId="187" fontId="17" fillId="11" borderId="1" xfId="12" applyFont="1" applyFill="1" applyBorder="1" applyAlignment="1">
      <alignment horizontal="center" wrapText="1"/>
    </xf>
    <xf numFmtId="2" fontId="17" fillId="9" borderId="1" xfId="12" applyNumberFormat="1" applyFont="1" applyFill="1" applyBorder="1" applyAlignment="1">
      <alignment horizontal="center"/>
    </xf>
    <xf numFmtId="183" fontId="17" fillId="9" borderId="1" xfId="22" applyNumberFormat="1" applyFont="1" applyFill="1" applyBorder="1" applyAlignment="1">
      <alignment horizontal="center"/>
    </xf>
    <xf numFmtId="182" fontId="17" fillId="0" borderId="1" xfId="22" applyNumberFormat="1" applyFont="1" applyBorder="1" applyAlignment="1">
      <alignment horizontal="center" vertical="center" wrapText="1"/>
    </xf>
    <xf numFmtId="2" fontId="17" fillId="0" borderId="2" xfId="12" applyNumberFormat="1" applyFont="1" applyBorder="1" applyAlignment="1">
      <alignment horizontal="center" vertical="center" wrapText="1"/>
    </xf>
    <xf numFmtId="2" fontId="17" fillId="9" borderId="1" xfId="13" applyNumberFormat="1" applyFont="1" applyFill="1" applyBorder="1" applyAlignment="1">
      <alignment horizontal="center" vertical="center" wrapText="1"/>
    </xf>
    <xf numFmtId="182" fontId="17" fillId="0" borderId="1" xfId="12" applyNumberFormat="1" applyFont="1" applyBorder="1" applyAlignment="1">
      <alignment horizontal="center" vertical="center" wrapText="1"/>
    </xf>
    <xf numFmtId="2" fontId="17" fillId="0" borderId="1" xfId="13" applyNumberFormat="1" applyFont="1" applyBorder="1" applyAlignment="1">
      <alignment horizontal="center" vertical="center" wrapText="1"/>
    </xf>
    <xf numFmtId="2" fontId="17" fillId="0" borderId="1" xfId="23" applyNumberFormat="1" applyFont="1" applyBorder="1" applyAlignment="1">
      <alignment horizontal="center" vertical="center" wrapText="1"/>
    </xf>
    <xf numFmtId="2" fontId="17" fillId="0" borderId="1" xfId="12" applyNumberFormat="1" applyFont="1" applyBorder="1" applyAlignment="1">
      <alignment horizontal="center" vertical="center" wrapText="1"/>
    </xf>
    <xf numFmtId="2" fontId="17" fillId="9" borderId="1" xfId="18" applyNumberFormat="1" applyFont="1" applyFill="1" applyBorder="1" applyAlignment="1">
      <alignment horizontal="center" vertical="center" wrapText="1"/>
    </xf>
    <xf numFmtId="2" fontId="17" fillId="9" borderId="1" xfId="12" applyNumberFormat="1" applyFont="1" applyFill="1" applyBorder="1" applyAlignment="1">
      <alignment horizontal="center" vertical="center" wrapText="1"/>
    </xf>
    <xf numFmtId="40" fontId="17" fillId="9" borderId="1" xfId="12" applyNumberFormat="1" applyFont="1" applyFill="1" applyBorder="1" applyAlignment="1">
      <alignment horizontal="center" vertical="center" wrapText="1"/>
    </xf>
    <xf numFmtId="187" fontId="17" fillId="11" borderId="3" xfId="15" applyFont="1" applyFill="1" applyBorder="1" applyAlignment="1">
      <alignment horizontal="center" vertical="center" wrapText="1"/>
    </xf>
    <xf numFmtId="183" fontId="17" fillId="11" borderId="1" xfId="24" applyNumberFormat="1" applyFont="1" applyFill="1" applyBorder="1" applyAlignment="1">
      <alignment horizontal="center" vertical="center" wrapText="1"/>
    </xf>
    <xf numFmtId="182" fontId="17" fillId="11" borderId="1" xfId="25" applyNumberFormat="1" applyFont="1" applyFill="1" applyBorder="1" applyAlignment="1">
      <alignment horizontal="center" vertical="center" wrapText="1"/>
    </xf>
    <xf numFmtId="183" fontId="17" fillId="13" borderId="1" xfId="24" applyNumberFormat="1" applyFont="1" applyFill="1" applyBorder="1" applyAlignment="1">
      <alignment horizontal="center" vertical="center" wrapText="1"/>
    </xf>
    <xf numFmtId="188" fontId="17" fillId="14" borderId="1" xfId="26" applyNumberFormat="1" applyFont="1" applyFill="1" applyBorder="1" applyAlignment="1">
      <alignment horizontal="center" vertical="center" wrapText="1"/>
    </xf>
    <xf numFmtId="183" fontId="17" fillId="11" borderId="1" xfId="27" applyNumberFormat="1" applyFont="1" applyFill="1" applyBorder="1" applyAlignment="1">
      <alignment horizontal="center" vertical="center" wrapText="1"/>
    </xf>
    <xf numFmtId="187" fontId="17" fillId="10" borderId="3" xfId="15" applyFont="1" applyFill="1" applyBorder="1" applyAlignment="1">
      <alignment horizontal="center" vertical="center" wrapText="1"/>
    </xf>
    <xf numFmtId="2" fontId="17" fillId="0" borderId="1" xfId="28" applyNumberFormat="1" applyFont="1" applyBorder="1" applyAlignment="1">
      <alignment horizontal="center" vertical="center"/>
    </xf>
    <xf numFmtId="182" fontId="17" fillId="0" borderId="1" xfId="13" applyNumberFormat="1" applyFont="1" applyBorder="1" applyAlignment="1">
      <alignment horizontal="center" vertical="center" wrapText="1"/>
    </xf>
    <xf numFmtId="187" fontId="25" fillId="12" borderId="1" xfId="12" applyFont="1" applyFill="1" applyBorder="1" applyAlignment="1">
      <alignment horizontal="center" vertical="center" wrapText="1"/>
    </xf>
    <xf numFmtId="183" fontId="17" fillId="12" borderId="1" xfId="12" applyNumberFormat="1" applyFont="1" applyFill="1" applyBorder="1" applyAlignment="1">
      <alignment horizontal="center" vertical="center" wrapText="1"/>
    </xf>
    <xf numFmtId="182" fontId="17" fillId="17" borderId="1" xfId="12" applyNumberFormat="1" applyFont="1" applyFill="1" applyBorder="1" applyAlignment="1">
      <alignment horizontal="center" vertical="center" wrapText="1"/>
    </xf>
    <xf numFmtId="187" fontId="17" fillId="0" borderId="1" xfId="29" applyFont="1" applyBorder="1" applyAlignment="1">
      <alignment horizontal="center"/>
    </xf>
    <xf numFmtId="187" fontId="17" fillId="0" borderId="1" xfId="30" applyFont="1" applyBorder="1" applyAlignment="1">
      <alignment horizontal="center" vertical="center" wrapText="1"/>
    </xf>
    <xf numFmtId="183" fontId="17" fillId="12" borderId="1" xfId="28" applyNumberFormat="1" applyFont="1" applyFill="1" applyBorder="1" applyAlignment="1">
      <alignment horizontal="center" vertical="center" wrapText="1"/>
    </xf>
    <xf numFmtId="183" fontId="17" fillId="12" borderId="1" xfId="13" applyNumberFormat="1" applyFont="1" applyFill="1" applyBorder="1" applyAlignment="1">
      <alignment horizontal="center" vertical="center" wrapText="1"/>
    </xf>
    <xf numFmtId="185" fontId="17" fillId="12" borderId="1" xfId="28" applyNumberFormat="1" applyFont="1" applyFill="1" applyBorder="1" applyAlignment="1">
      <alignment horizontal="center" vertical="center" wrapText="1"/>
    </xf>
    <xf numFmtId="7" fontId="17" fillId="0" borderId="0" xfId="10" applyNumberFormat="1" applyFont="1"/>
    <xf numFmtId="189" fontId="17" fillId="10" borderId="1" xfId="28" applyNumberFormat="1" applyFont="1" applyFill="1" applyBorder="1" applyAlignment="1">
      <alignment horizontal="center" vertical="center" wrapText="1"/>
    </xf>
    <xf numFmtId="183" fontId="17" fillId="10" borderId="1" xfId="13" applyNumberFormat="1" applyFont="1" applyFill="1" applyBorder="1" applyAlignment="1">
      <alignment horizontal="center" vertical="center" wrapText="1"/>
    </xf>
    <xf numFmtId="7" fontId="17" fillId="15" borderId="0" xfId="10" applyNumberFormat="1" applyFont="1" applyFill="1" applyAlignment="1">
      <alignment horizontal="center"/>
    </xf>
    <xf numFmtId="39" fontId="27" fillId="12" borderId="1" xfId="10" applyNumberFormat="1" applyFont="1" applyFill="1" applyBorder="1" applyAlignment="1">
      <alignment horizontal="center" vertical="center" wrapText="1"/>
    </xf>
    <xf numFmtId="7" fontId="17" fillId="15" borderId="0" xfId="10" applyNumberFormat="1" applyFont="1" applyFill="1"/>
    <xf numFmtId="187" fontId="27" fillId="12" borderId="1" xfId="10" applyFont="1" applyFill="1" applyBorder="1" applyAlignment="1">
      <alignment horizontal="center" vertical="center" wrapText="1"/>
    </xf>
    <xf numFmtId="189" fontId="17" fillId="12" borderId="1" xfId="28" applyNumberFormat="1" applyFont="1" applyFill="1" applyBorder="1" applyAlignment="1">
      <alignment horizontal="center" vertical="center" wrapText="1"/>
    </xf>
    <xf numFmtId="187" fontId="17" fillId="0" borderId="0" xfId="10" applyFont="1" applyAlignment="1">
      <alignment horizontal="center" vertical="center" wrapText="1"/>
    </xf>
    <xf numFmtId="187" fontId="17" fillId="0" borderId="0" xfId="11" applyFont="1" applyAlignment="1">
      <alignment horizontal="center" vertical="center" wrapText="1"/>
    </xf>
    <xf numFmtId="185" fontId="17" fillId="18" borderId="0" xfId="10" applyNumberFormat="1" applyFont="1" applyFill="1" applyAlignment="1">
      <alignment horizontal="center" vertical="center" wrapText="1"/>
    </xf>
    <xf numFmtId="185" fontId="17" fillId="18" borderId="0" xfId="11" applyNumberFormat="1" applyFont="1" applyFill="1" applyAlignment="1">
      <alignment horizontal="center" vertical="center" wrapText="1"/>
    </xf>
    <xf numFmtId="185" fontId="17" fillId="18" borderId="0" xfId="10" applyNumberFormat="1" applyFont="1" applyFill="1"/>
    <xf numFmtId="185" fontId="17" fillId="12" borderId="3" xfId="28" applyNumberFormat="1" applyFont="1" applyFill="1" applyBorder="1" applyAlignment="1">
      <alignment horizontal="center" vertical="center" wrapText="1"/>
    </xf>
    <xf numFmtId="185" fontId="17" fillId="12" borderId="4" xfId="28" applyNumberFormat="1" applyFont="1" applyFill="1" applyBorder="1" applyAlignment="1">
      <alignment horizontal="center" vertical="center" wrapText="1"/>
    </xf>
    <xf numFmtId="189" fontId="17" fillId="12" borderId="3" xfId="28" applyNumberFormat="1" applyFont="1" applyFill="1" applyBorder="1" applyAlignment="1">
      <alignment horizontal="center" vertical="center" wrapText="1"/>
    </xf>
    <xf numFmtId="189" fontId="17" fillId="12" borderId="4" xfId="2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4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6" borderId="1" xfId="0" applyFont="1" applyFill="1" applyBorder="1"/>
  </cellXfs>
  <cellStyles count="31">
    <cellStyle name="Currency 2" xfId="5" xr:uid="{2FAF1D55-D6CB-42D0-8B51-42EB00C03301}"/>
    <cellStyle name="Normal 1 2 4 2" xfId="7" xr:uid="{51266ADE-33A9-45C9-BB6E-DA135D9C9217}"/>
    <cellStyle name="Normal 123 2" xfId="21" xr:uid="{39933EBA-88B8-4EC0-82C7-27FA99D0193D}"/>
    <cellStyle name="Normal 2" xfId="4" xr:uid="{48B94C46-0AEB-498B-8577-219C43D37EB5}"/>
    <cellStyle name="Normal 2 18 2" xfId="1" xr:uid="{1BA08453-9F65-454B-A4A0-7177E70831F2}"/>
    <cellStyle name="Normal 30 2" xfId="8" xr:uid="{7A23BE0F-9435-473C-8323-9E846BBE9FDC}"/>
    <cellStyle name="Normal 36" xfId="9" xr:uid="{344211E2-D42B-4834-800B-576FCA3BAF23}"/>
    <cellStyle name="Normal 37 2" xfId="14" xr:uid="{AC7BA63F-8C9A-4BC3-BA00-9745380B13A3}"/>
    <cellStyle name="Normal_HG100324-CMF-BER 2 2" xfId="30" xr:uid="{D2E0B77E-1E78-42EB-AF56-43C730CFD559}"/>
    <cellStyle name="Normal_JC080425-MPD-WP-RE 2 2" xfId="29" xr:uid="{4453F49F-4810-45EC-B6C5-02CC2C256F11}"/>
    <cellStyle name="Percent 2" xfId="6" xr:uid="{E70589B9-27E6-48C2-9E75-E5CCCEF28152}"/>
    <cellStyle name="Style 1" xfId="3" xr:uid="{F4609D05-B161-47A5-8040-F8D4BA086F06}"/>
    <cellStyle name="常规" xfId="0" builtinId="0"/>
    <cellStyle name="常规 10 2 3 5 2" xfId="20" xr:uid="{C5776E7E-6BFF-4FC6-91C0-AB035B228F85}"/>
    <cellStyle name="常规 10 4 3 2" xfId="17" xr:uid="{4718ECFD-8C8E-4656-B067-41E472DF394D}"/>
    <cellStyle name="常规_AM100526-CMFSET-MF(Solid) 2 2 2 2 2 2 2 2 2" xfId="25" xr:uid="{5D2D01BD-B018-4A66-8E89-F7AC259B4ADA}"/>
    <cellStyle name="常规_JLA080412-CMF-FW240-RE 2 2 2" xfId="26" xr:uid="{F7A700E3-772C-433E-B5AA-EEC5A736078B}"/>
    <cellStyle name="常规_JLA101115-CMFSET-MF-P 2 3 2 3" xfId="16" xr:uid="{A0C0192B-4521-4FF5-948D-13579DD9A765}"/>
    <cellStyle name="常规_JLA101115-CMFSET-MF-P 2 4 2" xfId="22" xr:uid="{FC6F3C31-83EB-43C1-98DC-FF156F346790}"/>
    <cellStyle name="常规_KL101123-DCMF-233 3" xfId="10" xr:uid="{0BCDBAEF-185D-4008-90A0-66DAC0B781C4}"/>
    <cellStyle name="常规_KL101123-DCMF-260 2" xfId="27" xr:uid="{B9CFE46F-FE50-47CC-BC63-027E2D80869E}"/>
    <cellStyle name="常规_MC110517-CMF-Mink(Berber) 3size 2 2" xfId="11" xr:uid="{052A246E-BA47-484C-986D-B40A593AE35F}"/>
    <cellStyle name="常规_Sheet1 2 2 2 2 2 2" xfId="19" xr:uid="{25AA746B-B89E-4833-888A-381CDCE10E2F}"/>
    <cellStyle name="常规_Sheet1 2 2 2 2 3" xfId="18" xr:uid="{D2846B11-01D6-4F9F-BD1B-B01C845A4CCF}"/>
    <cellStyle name="常规_Sheet1 2 2 2 3" xfId="12" xr:uid="{49F613B2-7BBF-41FA-A713-FD1A5A38B447}"/>
    <cellStyle name="常规_Sheet1 3 2" xfId="23" xr:uid="{3F74D983-D42D-4480-A79D-3DDD4ADDAB28}"/>
    <cellStyle name="常规_Sheet1_Macy's home store mink berber comforter 111031--H--0314012 add OOD" xfId="13" xr:uid="{E9C995C8-604F-42AF-86A8-FA448C81108E}"/>
    <cellStyle name="常规_Sheet1_Sears mattress pad 0307012--CCD--0322012" xfId="28" xr:uid="{5524E86E-527F-4B23-AD9B-00410B288F69}"/>
    <cellStyle name="常规_Sheet1_WM 20 Piece Sets 12 20 05 2 2 2" xfId="15" xr:uid="{12534212-F0D9-4213-9E3D-7F18FECA1119}"/>
    <cellStyle name="常规_WM long fur comforter set CCD--111125 2 3" xfId="24" xr:uid="{5520E94C-B97B-4220-B34D-A5A90F57F3AC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4</xdr:row>
      <xdr:rowOff>142875</xdr:rowOff>
    </xdr:from>
    <xdr:to>
      <xdr:col>3</xdr:col>
      <xdr:colOff>0</xdr:colOff>
      <xdr:row>8</xdr:row>
      <xdr:rowOff>266700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B2E9480B-F2D4-47BB-A464-25AAE4C2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904875"/>
          <a:ext cx="1219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361950</xdr:colOff>
      <xdr:row>0</xdr:row>
      <xdr:rowOff>38100</xdr:rowOff>
    </xdr:from>
    <xdr:to>
      <xdr:col>23</xdr:col>
      <xdr:colOff>256045</xdr:colOff>
      <xdr:row>9</xdr:row>
      <xdr:rowOff>2294999</xdr:rowOff>
    </xdr:to>
    <xdr:pic>
      <xdr:nvPicPr>
        <xdr:cNvPr id="3" name="图片 7">
          <a:extLst>
            <a:ext uri="{FF2B5EF4-FFF2-40B4-BE49-F238E27FC236}">
              <a16:creationId xmlns:a16="http://schemas.microsoft.com/office/drawing/2014/main" id="{E447DAA3-E5C9-4BBE-9CC4-63BC869E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05975" y="38100"/>
          <a:ext cx="7895095" cy="42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jun\Local%20Settings\Temporary%20Internet%20Files\Content.Outlook\YD2T8D84\ee%20cold%20weather%20ex%206-28%20%207-26%20-30%209-27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D7"/>
  <sheetViews>
    <sheetView tabSelected="1" workbookViewId="0">
      <selection activeCell="T6" sqref="T6"/>
    </sheetView>
  </sheetViews>
  <sheetFormatPr defaultColWidth="9.140625" defaultRowHeight="15"/>
  <cols>
    <col min="1" max="1" width="10.140625" style="16" customWidth="1"/>
    <col min="2" max="2" width="7.140625" style="17" customWidth="1"/>
    <col min="3" max="3" width="8.42578125" style="17" customWidth="1"/>
    <col min="4" max="5" width="7.85546875" style="17" customWidth="1"/>
    <col min="6" max="6" width="11.28515625" style="17" customWidth="1"/>
    <col min="7" max="7" width="7.5703125" style="17" customWidth="1"/>
    <col min="8" max="8" width="12.7109375" style="17" customWidth="1"/>
    <col min="9" max="9" width="19.5703125" style="17" customWidth="1"/>
    <col min="10" max="10" width="25.7109375" style="17" customWidth="1"/>
    <col min="11" max="11" width="15.7109375" style="57" customWidth="1"/>
    <col min="12" max="12" width="21.42578125" style="17" customWidth="1"/>
    <col min="13" max="14" width="6.140625" style="17" customWidth="1"/>
    <col min="15" max="15" width="8.5703125" style="17" customWidth="1"/>
    <col min="16" max="16" width="9.7109375" style="17" bestFit="1" customWidth="1"/>
    <col min="17" max="17" width="13.140625" style="17" bestFit="1" customWidth="1"/>
    <col min="18" max="18" width="5.5703125" style="17" customWidth="1"/>
    <col min="19" max="19" width="9.7109375" style="19" customWidth="1"/>
    <col min="20" max="20" width="8" style="20" customWidth="1"/>
    <col min="21" max="21" width="12" style="21" customWidth="1"/>
    <col min="22" max="22" width="8.5703125" style="21" customWidth="1"/>
    <col min="23" max="23" width="8.140625" style="21" customWidth="1"/>
    <col min="24" max="24" width="9.42578125" style="17" customWidth="1"/>
    <col min="25" max="25" width="8.140625" style="50" customWidth="1"/>
    <col min="26" max="26" width="8.7109375" style="50" customWidth="1"/>
    <col min="27" max="27" width="7.140625" style="50" customWidth="1"/>
    <col min="28" max="28" width="9" style="20" customWidth="1"/>
    <col min="29" max="29" width="6.28515625" style="22" customWidth="1"/>
    <col min="30" max="30" width="10" style="54" customWidth="1"/>
    <col min="31" max="31" width="9.85546875" style="22" customWidth="1"/>
    <col min="32" max="32" width="7.85546875" style="17" customWidth="1"/>
    <col min="33" max="33" width="8.85546875" style="21" customWidth="1"/>
    <col min="34" max="34" width="7.85546875" style="17" customWidth="1"/>
    <col min="35" max="35" width="8.42578125" style="23" customWidth="1"/>
    <col min="36" max="36" width="9" style="21" customWidth="1"/>
    <col min="37" max="37" width="7.85546875" style="23" customWidth="1"/>
    <col min="38" max="38" width="5.85546875" style="21" customWidth="1"/>
    <col min="39" max="40" width="9.5703125" style="23" customWidth="1"/>
    <col min="41" max="41" width="10" style="21" customWidth="1"/>
    <col min="42" max="42" width="9.5703125" style="21" customWidth="1"/>
    <col min="43" max="43" width="9.42578125" style="21" customWidth="1"/>
    <col min="44" max="44" width="7.140625" style="23" customWidth="1"/>
    <col min="45" max="45" width="7.85546875" style="23" customWidth="1"/>
    <col min="46" max="46" width="9.5703125" style="21" customWidth="1"/>
    <col min="47" max="47" width="8.140625" style="21" customWidth="1"/>
    <col min="48" max="48" width="9.140625" style="17" customWidth="1"/>
    <col min="49" max="50" width="9.140625" style="17"/>
    <col min="51" max="51" width="10.140625" style="21" customWidth="1"/>
    <col min="52" max="53" width="9.140625" style="21"/>
    <col min="54" max="54" width="10.140625" style="17" bestFit="1" customWidth="1"/>
    <col min="55" max="55" width="11.140625" style="17" bestFit="1" customWidth="1"/>
    <col min="56" max="16384" width="9.140625" style="17"/>
  </cols>
  <sheetData>
    <row r="1" spans="1:56" ht="68.099999999999994" customHeight="1">
      <c r="A1" s="25" t="s">
        <v>705</v>
      </c>
      <c r="B1" s="25" t="s">
        <v>706</v>
      </c>
      <c r="C1" s="48" t="s">
        <v>707</v>
      </c>
      <c r="D1" s="49" t="s">
        <v>3</v>
      </c>
      <c r="E1" s="49" t="s">
        <v>20</v>
      </c>
      <c r="F1" s="27" t="s">
        <v>757</v>
      </c>
      <c r="G1" s="48" t="s">
        <v>708</v>
      </c>
      <c r="H1" s="26" t="s">
        <v>709</v>
      </c>
      <c r="I1" s="47" t="s">
        <v>773</v>
      </c>
      <c r="J1" s="26" t="s">
        <v>710</v>
      </c>
      <c r="K1" s="47" t="s">
        <v>789</v>
      </c>
      <c r="L1" s="26" t="s">
        <v>711</v>
      </c>
      <c r="M1" s="26" t="s">
        <v>712</v>
      </c>
      <c r="N1" s="48" t="s">
        <v>713</v>
      </c>
      <c r="O1" s="48" t="s">
        <v>793</v>
      </c>
      <c r="P1" s="48" t="s">
        <v>714</v>
      </c>
      <c r="Q1" s="48" t="s">
        <v>715</v>
      </c>
      <c r="R1" s="47" t="s">
        <v>774</v>
      </c>
      <c r="S1" s="28" t="s">
        <v>716</v>
      </c>
      <c r="T1" s="29" t="s">
        <v>717</v>
      </c>
      <c r="U1" s="30" t="s">
        <v>718</v>
      </c>
      <c r="V1" s="31" t="s">
        <v>719</v>
      </c>
      <c r="W1" s="32" t="s">
        <v>720</v>
      </c>
      <c r="X1" s="33" t="s">
        <v>4</v>
      </c>
      <c r="Y1" s="51" t="s">
        <v>721</v>
      </c>
      <c r="Z1" s="51" t="s">
        <v>722</v>
      </c>
      <c r="AA1" s="51" t="s">
        <v>723</v>
      </c>
      <c r="AB1" s="34" t="s">
        <v>724</v>
      </c>
      <c r="AC1" s="35" t="s">
        <v>725</v>
      </c>
      <c r="AD1" s="55" t="s">
        <v>726</v>
      </c>
      <c r="AE1" s="36" t="s">
        <v>727</v>
      </c>
      <c r="AF1" s="25" t="s">
        <v>728</v>
      </c>
      <c r="AG1" s="37" t="s">
        <v>729</v>
      </c>
      <c r="AH1" s="25" t="s">
        <v>730</v>
      </c>
      <c r="AI1" s="38" t="s">
        <v>731</v>
      </c>
      <c r="AJ1" s="39" t="s">
        <v>732</v>
      </c>
      <c r="AK1" s="38" t="s">
        <v>733</v>
      </c>
      <c r="AL1" s="37" t="s">
        <v>734</v>
      </c>
      <c r="AM1" s="52" t="s">
        <v>735</v>
      </c>
      <c r="AN1" s="37" t="s">
        <v>736</v>
      </c>
      <c r="AO1" s="33" t="s">
        <v>737</v>
      </c>
      <c r="AP1" s="38" t="s">
        <v>738</v>
      </c>
      <c r="AQ1" s="37" t="s">
        <v>739</v>
      </c>
      <c r="AR1" s="33" t="s">
        <v>740</v>
      </c>
      <c r="AS1" s="38" t="s">
        <v>741</v>
      </c>
      <c r="AT1" s="37" t="s">
        <v>742</v>
      </c>
      <c r="AU1" s="37" t="s">
        <v>743</v>
      </c>
      <c r="AV1" s="40" t="s">
        <v>744</v>
      </c>
      <c r="AW1" s="40" t="s">
        <v>745</v>
      </c>
      <c r="AX1" s="53" t="s">
        <v>746</v>
      </c>
      <c r="AY1" s="58" t="s">
        <v>792</v>
      </c>
      <c r="AZ1" s="25" t="s">
        <v>747</v>
      </c>
      <c r="BA1" s="25" t="s">
        <v>748</v>
      </c>
      <c r="BB1" s="41" t="s">
        <v>749</v>
      </c>
      <c r="BC1" s="41" t="s">
        <v>750</v>
      </c>
      <c r="BD1" s="18" t="s">
        <v>841</v>
      </c>
    </row>
    <row r="2" spans="1:56" ht="30" customHeight="1">
      <c r="A2" s="42">
        <v>7</v>
      </c>
      <c r="B2" s="11"/>
      <c r="C2" s="11"/>
      <c r="D2" s="11"/>
      <c r="E2" s="11"/>
      <c r="F2" s="158" t="s">
        <v>269</v>
      </c>
      <c r="G2" s="158" t="s">
        <v>886</v>
      </c>
      <c r="H2" s="159" t="s">
        <v>842</v>
      </c>
      <c r="I2" s="159" t="s">
        <v>843</v>
      </c>
      <c r="J2" s="160" t="s">
        <v>844</v>
      </c>
      <c r="K2" s="161" t="s">
        <v>845</v>
      </c>
      <c r="L2" s="162" t="s">
        <v>883</v>
      </c>
      <c r="M2" s="59" t="s">
        <v>846</v>
      </c>
      <c r="N2" s="11"/>
      <c r="O2" s="11"/>
      <c r="P2" s="163" t="s">
        <v>887</v>
      </c>
      <c r="Q2" s="11"/>
      <c r="R2" s="59" t="s">
        <v>761</v>
      </c>
      <c r="S2" s="60">
        <v>142.1</v>
      </c>
      <c r="T2" s="61">
        <v>7.95</v>
      </c>
      <c r="U2" s="62">
        <v>17.87</v>
      </c>
      <c r="V2" s="63">
        <v>17.87</v>
      </c>
      <c r="W2" s="71">
        <v>140</v>
      </c>
      <c r="X2" s="59" t="s">
        <v>127</v>
      </c>
      <c r="Y2" s="65">
        <v>58</v>
      </c>
      <c r="Z2" s="65">
        <v>53</v>
      </c>
      <c r="AA2" s="65">
        <v>51</v>
      </c>
      <c r="AB2" s="61">
        <v>2</v>
      </c>
      <c r="AC2" s="66">
        <v>2</v>
      </c>
      <c r="AD2" s="56">
        <f t="shared" ref="AD2:AD7" si="0">IF(Y2="","",Y2*Z2*AA2/1000000)</f>
        <v>0.157</v>
      </c>
      <c r="AE2" s="43">
        <f t="shared" ref="AE2:AE7" si="1">IF(AC2="","",65/AD2*AC2)</f>
        <v>828</v>
      </c>
      <c r="AF2" s="59">
        <v>5400</v>
      </c>
      <c r="AG2" s="44">
        <f t="shared" ref="AG2:AG7" si="2">IF(ISERROR(AF2/AE2),"",AF2/AE2)</f>
        <v>6.52</v>
      </c>
      <c r="AH2" s="59" t="s">
        <v>839</v>
      </c>
      <c r="AI2" s="68">
        <v>0.14000000000000001</v>
      </c>
      <c r="AJ2" s="44">
        <f t="shared" ref="AJ2:AJ7" si="3">IF(ISERROR(V2*AI2),"",V2*AI2)</f>
        <v>2.5</v>
      </c>
      <c r="AK2" s="68">
        <v>0.01</v>
      </c>
      <c r="AL2" s="44">
        <f t="shared" ref="AL2:AL7" si="4">IF(ISERROR(AX2*AK2),"",AX2*AK2)</f>
        <v>0.22</v>
      </c>
      <c r="AM2" s="68">
        <v>0</v>
      </c>
      <c r="AN2" s="44">
        <f t="shared" ref="AN2:AN7" si="5">IF(ISERROR(AX2*AM2),"",AX2*AM2)</f>
        <v>0</v>
      </c>
      <c r="AO2" s="11"/>
      <c r="AP2" s="68">
        <v>0</v>
      </c>
      <c r="AQ2" s="44">
        <f t="shared" ref="AQ2:AQ7" si="6">IF(ISERROR(AX2*AP2),"",AX2*AP2)</f>
        <v>0</v>
      </c>
      <c r="AR2" s="24"/>
      <c r="AS2" s="68">
        <v>0</v>
      </c>
      <c r="AT2" s="44">
        <f t="shared" ref="AT2:AT6" si="7">IF(ISERROR(AX2*AS2),"",AX2*AS2)</f>
        <v>0</v>
      </c>
      <c r="AU2" s="44">
        <f t="shared" ref="AU2:AU7" si="8">IF(ISERROR(AL2+AN2+AQ2+AT2),"",AL2+AN2+AQ2+AT2)</f>
        <v>0.22</v>
      </c>
      <c r="AV2" s="44">
        <f t="shared" ref="AV2:AV7" si="9">IF(ISERROR(V2+AU2),"",V2+AU2)</f>
        <v>18.09</v>
      </c>
      <c r="AW2" s="46">
        <f t="shared" ref="AW2:AW7" si="10">IF(ISERROR((AX2-AV2)/AX2),"",(AX2-AV2)/AX2)</f>
        <v>0.19389999999999999</v>
      </c>
      <c r="AX2" s="67">
        <v>22.44</v>
      </c>
      <c r="AY2" s="24"/>
      <c r="AZ2" s="64" t="s">
        <v>782</v>
      </c>
      <c r="BA2" s="69">
        <f t="shared" ref="BA2:BA7" si="11">BD2+BE2</f>
        <v>100</v>
      </c>
      <c r="BB2" s="44">
        <f t="shared" ref="BB2:BB3" si="12">IF(ISERROR(AV2*BA2),"",AV2*BA2)</f>
        <v>1809</v>
      </c>
      <c r="BC2" s="44">
        <f t="shared" ref="BC2:BC4" si="13">IF(ISERROR(AX2*BA2),"",AX2*BA2)</f>
        <v>2244</v>
      </c>
      <c r="BD2" s="70">
        <v>100</v>
      </c>
    </row>
    <row r="3" spans="1:56" ht="45">
      <c r="A3" s="42">
        <v>8</v>
      </c>
      <c r="B3" s="11"/>
      <c r="C3" s="11"/>
      <c r="D3" s="11"/>
      <c r="E3" s="11"/>
      <c r="F3" s="158" t="s">
        <v>269</v>
      </c>
      <c r="G3" s="158" t="s">
        <v>886</v>
      </c>
      <c r="H3" s="159" t="s">
        <v>842</v>
      </c>
      <c r="I3" s="159" t="s">
        <v>843</v>
      </c>
      <c r="J3" s="160" t="s">
        <v>844</v>
      </c>
      <c r="K3" s="161" t="s">
        <v>845</v>
      </c>
      <c r="L3" s="162" t="s">
        <v>884</v>
      </c>
      <c r="M3" s="59" t="s">
        <v>846</v>
      </c>
      <c r="N3" s="11"/>
      <c r="O3" s="11"/>
      <c r="P3" s="163" t="s">
        <v>888</v>
      </c>
      <c r="Q3" s="11"/>
      <c r="R3" s="59" t="s">
        <v>761</v>
      </c>
      <c r="S3" s="60">
        <v>189.5</v>
      </c>
      <c r="T3" s="61">
        <v>7.95</v>
      </c>
      <c r="U3" s="62">
        <v>23.84</v>
      </c>
      <c r="V3" s="63">
        <v>23.84</v>
      </c>
      <c r="W3" s="71">
        <v>187</v>
      </c>
      <c r="X3" s="59" t="s">
        <v>127</v>
      </c>
      <c r="Y3" s="65">
        <v>58</v>
      </c>
      <c r="Z3" s="65">
        <v>53</v>
      </c>
      <c r="AA3" s="65">
        <v>56</v>
      </c>
      <c r="AB3" s="61">
        <v>2</v>
      </c>
      <c r="AC3" s="69">
        <v>2</v>
      </c>
      <c r="AD3" s="56">
        <f t="shared" si="0"/>
        <v>0.17199999999999999</v>
      </c>
      <c r="AE3" s="43">
        <f t="shared" si="1"/>
        <v>756</v>
      </c>
      <c r="AF3" s="59">
        <v>5400</v>
      </c>
      <c r="AG3" s="44">
        <f t="shared" si="2"/>
        <v>7.14</v>
      </c>
      <c r="AH3" s="59" t="s">
        <v>839</v>
      </c>
      <c r="AI3" s="68">
        <v>0.14000000000000001</v>
      </c>
      <c r="AJ3" s="44">
        <f t="shared" si="3"/>
        <v>3.34</v>
      </c>
      <c r="AK3" s="68">
        <v>0.01</v>
      </c>
      <c r="AL3" s="44">
        <f t="shared" si="4"/>
        <v>0.3</v>
      </c>
      <c r="AM3" s="68">
        <v>0</v>
      </c>
      <c r="AN3" s="44">
        <f t="shared" si="5"/>
        <v>0</v>
      </c>
      <c r="AO3" s="11"/>
      <c r="AP3" s="68">
        <v>0</v>
      </c>
      <c r="AQ3" s="44">
        <f t="shared" si="6"/>
        <v>0</v>
      </c>
      <c r="AR3" s="24"/>
      <c r="AS3" s="68">
        <v>0</v>
      </c>
      <c r="AT3" s="44">
        <f t="shared" si="7"/>
        <v>0</v>
      </c>
      <c r="AU3" s="44">
        <f t="shared" si="8"/>
        <v>0.3</v>
      </c>
      <c r="AV3" s="44">
        <f t="shared" si="9"/>
        <v>24.14</v>
      </c>
      <c r="AW3" s="46">
        <f t="shared" si="10"/>
        <v>0.20669999999999999</v>
      </c>
      <c r="AX3" s="67">
        <v>30.43</v>
      </c>
      <c r="AY3" s="24"/>
      <c r="AZ3" s="64" t="s">
        <v>782</v>
      </c>
      <c r="BA3" s="69">
        <f t="shared" si="11"/>
        <v>400</v>
      </c>
      <c r="BB3" s="44">
        <f t="shared" si="12"/>
        <v>9656</v>
      </c>
      <c r="BC3" s="44">
        <f t="shared" si="13"/>
        <v>12172</v>
      </c>
      <c r="BD3" s="70">
        <v>400</v>
      </c>
    </row>
    <row r="4" spans="1:56" ht="45">
      <c r="A4" s="42">
        <v>9</v>
      </c>
      <c r="B4" s="11"/>
      <c r="C4" s="11"/>
      <c r="D4" s="11"/>
      <c r="E4" s="11"/>
      <c r="F4" s="158" t="s">
        <v>269</v>
      </c>
      <c r="G4" s="158" t="s">
        <v>886</v>
      </c>
      <c r="H4" s="159" t="s">
        <v>842</v>
      </c>
      <c r="I4" s="159" t="s">
        <v>843</v>
      </c>
      <c r="J4" s="160" t="s">
        <v>844</v>
      </c>
      <c r="K4" s="161" t="s">
        <v>845</v>
      </c>
      <c r="L4" s="162" t="s">
        <v>885</v>
      </c>
      <c r="M4" s="59" t="s">
        <v>846</v>
      </c>
      <c r="N4" s="11"/>
      <c r="O4" s="11"/>
      <c r="P4" s="163" t="s">
        <v>889</v>
      </c>
      <c r="Q4" s="11"/>
      <c r="R4" s="59" t="s">
        <v>761</v>
      </c>
      <c r="S4" s="60">
        <v>215.3</v>
      </c>
      <c r="T4" s="61">
        <v>7.95</v>
      </c>
      <c r="U4" s="62">
        <v>27.08</v>
      </c>
      <c r="V4" s="63">
        <v>27.08</v>
      </c>
      <c r="W4" s="71">
        <v>212</v>
      </c>
      <c r="X4" s="59" t="s">
        <v>127</v>
      </c>
      <c r="Y4" s="65">
        <v>58</v>
      </c>
      <c r="Z4" s="65">
        <v>53</v>
      </c>
      <c r="AA4" s="65">
        <v>61</v>
      </c>
      <c r="AB4" s="61">
        <v>2</v>
      </c>
      <c r="AC4" s="69">
        <v>2</v>
      </c>
      <c r="AD4" s="56">
        <f t="shared" si="0"/>
        <v>0.188</v>
      </c>
      <c r="AE4" s="43">
        <f t="shared" si="1"/>
        <v>691</v>
      </c>
      <c r="AF4" s="59">
        <v>5400</v>
      </c>
      <c r="AG4" s="44">
        <f t="shared" si="2"/>
        <v>7.81</v>
      </c>
      <c r="AH4" s="59" t="s">
        <v>839</v>
      </c>
      <c r="AI4" s="68">
        <v>0.14000000000000001</v>
      </c>
      <c r="AJ4" s="44">
        <f t="shared" si="3"/>
        <v>3.79</v>
      </c>
      <c r="AK4" s="68">
        <v>0.01</v>
      </c>
      <c r="AL4" s="44">
        <f t="shared" si="4"/>
        <v>0.34</v>
      </c>
      <c r="AM4" s="68">
        <v>0</v>
      </c>
      <c r="AN4" s="44">
        <f t="shared" si="5"/>
        <v>0</v>
      </c>
      <c r="AO4" s="11"/>
      <c r="AP4" s="68">
        <v>0</v>
      </c>
      <c r="AQ4" s="44">
        <f t="shared" si="6"/>
        <v>0</v>
      </c>
      <c r="AR4" s="24"/>
      <c r="AS4" s="68">
        <v>0</v>
      </c>
      <c r="AT4" s="44">
        <f>IF(ISERROR(AX4*AS4),"",AX4*AS4)</f>
        <v>0</v>
      </c>
      <c r="AU4" s="44">
        <f t="shared" si="8"/>
        <v>0.34</v>
      </c>
      <c r="AV4" s="44">
        <f t="shared" si="9"/>
        <v>27.42</v>
      </c>
      <c r="AW4" s="46">
        <f t="shared" si="10"/>
        <v>0.18970000000000001</v>
      </c>
      <c r="AX4" s="67">
        <v>33.840000000000003</v>
      </c>
      <c r="AY4" s="24"/>
      <c r="AZ4" s="64" t="s">
        <v>782</v>
      </c>
      <c r="BA4" s="69">
        <f t="shared" si="11"/>
        <v>200</v>
      </c>
      <c r="BB4" s="44">
        <f>IF(ISERROR(AV4*BA4),"",AV4*BA4)</f>
        <v>5484</v>
      </c>
      <c r="BC4" s="44">
        <f t="shared" si="13"/>
        <v>6768</v>
      </c>
      <c r="BD4" s="70">
        <v>200</v>
      </c>
    </row>
    <row r="5" spans="1:56" ht="30" customHeight="1">
      <c r="A5" s="42">
        <v>13</v>
      </c>
      <c r="B5" s="11"/>
      <c r="C5" s="11"/>
      <c r="D5" s="11"/>
      <c r="E5" s="11"/>
      <c r="F5" s="158" t="s">
        <v>269</v>
      </c>
      <c r="G5" s="158" t="s">
        <v>886</v>
      </c>
      <c r="H5" s="159" t="s">
        <v>842</v>
      </c>
      <c r="I5" s="159" t="s">
        <v>843</v>
      </c>
      <c r="J5" s="160" t="s">
        <v>844</v>
      </c>
      <c r="K5" s="161" t="s">
        <v>845</v>
      </c>
      <c r="L5" s="162" t="s">
        <v>883</v>
      </c>
      <c r="M5" s="11" t="s">
        <v>840</v>
      </c>
      <c r="N5" s="11"/>
      <c r="O5" s="11"/>
      <c r="P5" s="163" t="s">
        <v>890</v>
      </c>
      <c r="Q5" s="11"/>
      <c r="R5" s="59" t="s">
        <v>761</v>
      </c>
      <c r="S5" s="60">
        <v>142.1</v>
      </c>
      <c r="T5" s="61">
        <v>7.95</v>
      </c>
      <c r="U5" s="62">
        <v>17.87</v>
      </c>
      <c r="V5" s="63">
        <v>17.87</v>
      </c>
      <c r="W5" s="71">
        <v>140</v>
      </c>
      <c r="X5" s="59" t="s">
        <v>127</v>
      </c>
      <c r="Y5" s="65">
        <v>58</v>
      </c>
      <c r="Z5" s="65">
        <v>53</v>
      </c>
      <c r="AA5" s="65">
        <v>51</v>
      </c>
      <c r="AB5" s="61">
        <v>2</v>
      </c>
      <c r="AC5" s="66">
        <v>2</v>
      </c>
      <c r="AD5" s="56">
        <f t="shared" si="0"/>
        <v>0.157</v>
      </c>
      <c r="AE5" s="43">
        <f t="shared" si="1"/>
        <v>828</v>
      </c>
      <c r="AF5" s="59">
        <v>5400</v>
      </c>
      <c r="AG5" s="44">
        <f t="shared" si="2"/>
        <v>6.52</v>
      </c>
      <c r="AH5" s="11" t="s">
        <v>839</v>
      </c>
      <c r="AI5" s="45">
        <v>0.14000000000000001</v>
      </c>
      <c r="AJ5" s="44">
        <f t="shared" si="3"/>
        <v>2.5</v>
      </c>
      <c r="AK5" s="45">
        <v>0.01</v>
      </c>
      <c r="AL5" s="44">
        <f t="shared" si="4"/>
        <v>0.22</v>
      </c>
      <c r="AM5" s="68">
        <v>0</v>
      </c>
      <c r="AN5" s="44">
        <f t="shared" si="5"/>
        <v>0</v>
      </c>
      <c r="AO5" s="11"/>
      <c r="AP5" s="68">
        <v>0</v>
      </c>
      <c r="AQ5" s="44">
        <f t="shared" si="6"/>
        <v>0</v>
      </c>
      <c r="AR5" s="24"/>
      <c r="AS5" s="68">
        <v>0</v>
      </c>
      <c r="AT5" s="44">
        <f t="shared" si="7"/>
        <v>0</v>
      </c>
      <c r="AU5" s="44">
        <f t="shared" si="8"/>
        <v>0.22</v>
      </c>
      <c r="AV5" s="44">
        <f t="shared" si="9"/>
        <v>18.09</v>
      </c>
      <c r="AW5" s="46">
        <f t="shared" si="10"/>
        <v>0.19389999999999999</v>
      </c>
      <c r="AX5" s="44">
        <v>22.44</v>
      </c>
      <c r="AY5" s="24"/>
      <c r="AZ5" s="64" t="s">
        <v>782</v>
      </c>
      <c r="BA5" s="69">
        <f t="shared" si="11"/>
        <v>60</v>
      </c>
      <c r="BB5" s="44">
        <f t="shared" ref="BB5:BB7" si="14">IF(ISERROR(AV5*BA5),"",AV5*BA5)</f>
        <v>1085.4000000000001</v>
      </c>
      <c r="BC5" s="44">
        <f t="shared" ref="BC5:BC7" si="15">IF(ISERROR(AX5*BA5),"",AX5*BA5)</f>
        <v>1346.4</v>
      </c>
      <c r="BD5" s="70">
        <v>60</v>
      </c>
    </row>
    <row r="6" spans="1:56" ht="45">
      <c r="A6" s="42">
        <v>14</v>
      </c>
      <c r="B6" s="11"/>
      <c r="C6" s="11"/>
      <c r="D6" s="11"/>
      <c r="E6" s="11"/>
      <c r="F6" s="158" t="s">
        <v>269</v>
      </c>
      <c r="G6" s="158" t="s">
        <v>886</v>
      </c>
      <c r="H6" s="159" t="s">
        <v>842</v>
      </c>
      <c r="I6" s="159" t="s">
        <v>843</v>
      </c>
      <c r="J6" s="160" t="s">
        <v>844</v>
      </c>
      <c r="K6" s="161" t="s">
        <v>845</v>
      </c>
      <c r="L6" s="162" t="s">
        <v>884</v>
      </c>
      <c r="M6" s="11" t="s">
        <v>840</v>
      </c>
      <c r="N6" s="11"/>
      <c r="O6" s="11"/>
      <c r="P6" s="163" t="s">
        <v>891</v>
      </c>
      <c r="Q6" s="11"/>
      <c r="R6" s="59" t="s">
        <v>761</v>
      </c>
      <c r="S6" s="60">
        <v>189.5</v>
      </c>
      <c r="T6" s="61">
        <v>7.95</v>
      </c>
      <c r="U6" s="62">
        <v>23.84</v>
      </c>
      <c r="V6" s="63">
        <v>23.84</v>
      </c>
      <c r="W6" s="71">
        <v>187</v>
      </c>
      <c r="X6" s="59" t="s">
        <v>127</v>
      </c>
      <c r="Y6" s="65">
        <v>58</v>
      </c>
      <c r="Z6" s="65">
        <v>53</v>
      </c>
      <c r="AA6" s="65">
        <v>56</v>
      </c>
      <c r="AB6" s="61">
        <v>2</v>
      </c>
      <c r="AC6" s="69">
        <v>2</v>
      </c>
      <c r="AD6" s="56">
        <f t="shared" si="0"/>
        <v>0.17199999999999999</v>
      </c>
      <c r="AE6" s="43">
        <f t="shared" si="1"/>
        <v>756</v>
      </c>
      <c r="AF6" s="59">
        <v>5400</v>
      </c>
      <c r="AG6" s="44">
        <f t="shared" si="2"/>
        <v>7.14</v>
      </c>
      <c r="AH6" s="11" t="s">
        <v>839</v>
      </c>
      <c r="AI6" s="45">
        <v>0.14000000000000001</v>
      </c>
      <c r="AJ6" s="44">
        <f t="shared" si="3"/>
        <v>3.34</v>
      </c>
      <c r="AK6" s="45">
        <v>0.01</v>
      </c>
      <c r="AL6" s="44">
        <f t="shared" si="4"/>
        <v>0.3</v>
      </c>
      <c r="AM6" s="68">
        <v>0</v>
      </c>
      <c r="AN6" s="44">
        <f t="shared" si="5"/>
        <v>0</v>
      </c>
      <c r="AO6" s="11"/>
      <c r="AP6" s="68">
        <v>0</v>
      </c>
      <c r="AQ6" s="44">
        <f t="shared" si="6"/>
        <v>0</v>
      </c>
      <c r="AR6" s="24"/>
      <c r="AS6" s="68">
        <v>0</v>
      </c>
      <c r="AT6" s="44">
        <f t="shared" si="7"/>
        <v>0</v>
      </c>
      <c r="AU6" s="44">
        <f t="shared" si="8"/>
        <v>0.3</v>
      </c>
      <c r="AV6" s="44">
        <f t="shared" si="9"/>
        <v>24.14</v>
      </c>
      <c r="AW6" s="46">
        <f t="shared" si="10"/>
        <v>0.20669999999999999</v>
      </c>
      <c r="AX6" s="44">
        <v>30.43</v>
      </c>
      <c r="AY6" s="24"/>
      <c r="AZ6" s="64" t="s">
        <v>782</v>
      </c>
      <c r="BA6" s="69">
        <f t="shared" si="11"/>
        <v>280</v>
      </c>
      <c r="BB6" s="44">
        <f t="shared" si="14"/>
        <v>6759.2</v>
      </c>
      <c r="BC6" s="44">
        <f t="shared" si="15"/>
        <v>8520.4</v>
      </c>
      <c r="BD6" s="70">
        <v>280</v>
      </c>
    </row>
    <row r="7" spans="1:56" ht="45">
      <c r="A7" s="42">
        <v>15</v>
      </c>
      <c r="B7" s="11"/>
      <c r="C7" s="11"/>
      <c r="D7" s="11"/>
      <c r="E7" s="11"/>
      <c r="F7" s="158" t="s">
        <v>269</v>
      </c>
      <c r="G7" s="158" t="s">
        <v>886</v>
      </c>
      <c r="H7" s="159" t="s">
        <v>842</v>
      </c>
      <c r="I7" s="159" t="s">
        <v>843</v>
      </c>
      <c r="J7" s="160" t="s">
        <v>844</v>
      </c>
      <c r="K7" s="161" t="s">
        <v>845</v>
      </c>
      <c r="L7" s="162" t="s">
        <v>885</v>
      </c>
      <c r="M7" s="11" t="s">
        <v>840</v>
      </c>
      <c r="N7" s="11"/>
      <c r="O7" s="11"/>
      <c r="P7" s="163" t="s">
        <v>892</v>
      </c>
      <c r="Q7" s="11"/>
      <c r="R7" s="59" t="s">
        <v>761</v>
      </c>
      <c r="S7" s="60">
        <v>215.3</v>
      </c>
      <c r="T7" s="61">
        <v>7.95</v>
      </c>
      <c r="U7" s="62">
        <v>27.08</v>
      </c>
      <c r="V7" s="63">
        <v>27.08</v>
      </c>
      <c r="W7" s="71">
        <v>212</v>
      </c>
      <c r="X7" s="59" t="s">
        <v>127</v>
      </c>
      <c r="Y7" s="65">
        <v>58</v>
      </c>
      <c r="Z7" s="65">
        <v>53</v>
      </c>
      <c r="AA7" s="65">
        <v>61</v>
      </c>
      <c r="AB7" s="61">
        <v>2</v>
      </c>
      <c r="AC7" s="69">
        <v>2</v>
      </c>
      <c r="AD7" s="56">
        <f t="shared" si="0"/>
        <v>0.188</v>
      </c>
      <c r="AE7" s="43">
        <f t="shared" si="1"/>
        <v>691</v>
      </c>
      <c r="AF7" s="59">
        <v>5400</v>
      </c>
      <c r="AG7" s="44">
        <f t="shared" si="2"/>
        <v>7.81</v>
      </c>
      <c r="AH7" s="11" t="s">
        <v>839</v>
      </c>
      <c r="AI7" s="45">
        <v>0.14000000000000001</v>
      </c>
      <c r="AJ7" s="44">
        <f t="shared" si="3"/>
        <v>3.79</v>
      </c>
      <c r="AK7" s="45">
        <v>0.01</v>
      </c>
      <c r="AL7" s="44">
        <f t="shared" si="4"/>
        <v>0.34</v>
      </c>
      <c r="AM7" s="68">
        <v>0</v>
      </c>
      <c r="AN7" s="44">
        <f t="shared" si="5"/>
        <v>0</v>
      </c>
      <c r="AO7" s="11"/>
      <c r="AP7" s="68">
        <v>0</v>
      </c>
      <c r="AQ7" s="44">
        <f t="shared" si="6"/>
        <v>0</v>
      </c>
      <c r="AR7" s="24"/>
      <c r="AS7" s="68">
        <v>0</v>
      </c>
      <c r="AT7" s="44">
        <f>IF(ISERROR(AX7*AS7),"",AX7*AS7)</f>
        <v>0</v>
      </c>
      <c r="AU7" s="44">
        <f t="shared" si="8"/>
        <v>0.34</v>
      </c>
      <c r="AV7" s="44">
        <f t="shared" si="9"/>
        <v>27.42</v>
      </c>
      <c r="AW7" s="46">
        <f t="shared" si="10"/>
        <v>0.18970000000000001</v>
      </c>
      <c r="AX7" s="44">
        <v>33.840000000000003</v>
      </c>
      <c r="AY7" s="24"/>
      <c r="AZ7" s="64" t="s">
        <v>782</v>
      </c>
      <c r="BA7" s="69">
        <f t="shared" si="11"/>
        <v>140</v>
      </c>
      <c r="BB7" s="44">
        <f t="shared" si="14"/>
        <v>3838.8</v>
      </c>
      <c r="BC7" s="44">
        <f t="shared" si="15"/>
        <v>4737.6000000000004</v>
      </c>
      <c r="BD7" s="70">
        <v>140</v>
      </c>
    </row>
  </sheetData>
  <sheetProtection insertRows="0" deleteRows="0" sort="0"/>
  <protectedRanges>
    <protectedRange sqref="BA2:BA7 AZ1 AM1:AN1 P8:AU244 L2:N244 A2:J244 Q2:AX7" name="Range1"/>
    <protectedRange sqref="K2:K251" name="Range1_1"/>
    <protectedRange sqref="AY2:AY246" name="Range1_2"/>
    <protectedRange sqref="O2:O246" name="Range1_3"/>
    <protectedRange sqref="P2:P7" name="Range1_4"/>
  </protectedRanges>
  <phoneticPr fontId="2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3ABC40F-D9F0-4933-81EB-0AB4607EDD7B}">
          <x14:formula1>
            <xm:f>ValueSelection!$F$2:$F$27</xm:f>
          </x14:formula1>
          <xm:sqref>F2:F7</xm:sqref>
        </x14:dataValidation>
        <x14:dataValidation type="list" allowBlank="1" showInputMessage="1" showErrorMessage="1" xr:uid="{7BEF637D-A3A7-483C-9885-282E13F8253E}">
          <x14:formula1>
            <xm:f>Data!$T$2:$T$6</xm:f>
          </x14:formula1>
          <xm:sqref>X2:X7</xm:sqref>
        </x14:dataValidation>
        <x14:dataValidation type="list" allowBlank="1" showInputMessage="1" showErrorMessage="1" xr:uid="{1395DBF2-9719-490D-A5F3-FDB71566C045}">
          <x14:formula1>
            <xm:f>ValueSelection!$D$2:$D$296</xm:f>
          </x14:formula1>
          <xm:sqref>D2:D7</xm:sqref>
        </x14:dataValidation>
        <x14:dataValidation type="list" allowBlank="1" showInputMessage="1" showErrorMessage="1" xr:uid="{065B5675-627F-44FF-8E56-11613DCE8A38}">
          <x14:formula1>
            <xm:f>Data!$R$2:$R$14</xm:f>
          </x14:formula1>
          <xm:sqref>R2:R7</xm:sqref>
        </x14:dataValidation>
        <x14:dataValidation type="list" allowBlank="1" showInputMessage="1" showErrorMessage="1" xr:uid="{D2B33139-09CF-4BD3-878B-AB124AE8C200}">
          <x14:formula1>
            <xm:f>Data!$J$2:$J$11</xm:f>
          </x14:formula1>
          <xm:sqref>AZ2:AZ7</xm:sqref>
        </x14:dataValidation>
        <x14:dataValidation type="list" allowBlank="1" showInputMessage="1" showErrorMessage="1" xr:uid="{AE9994C2-9C60-43DD-A320-81131AF9597F}">
          <x14:formula1>
            <xm:f>ValueSelection!$E$2:$E$26</xm:f>
          </x14:formula1>
          <xm:sqref>E2:E7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D2ED-8A70-4A07-8798-64FD457AA66E}">
  <dimension ref="A1:H128"/>
  <sheetViews>
    <sheetView topLeftCell="A74" workbookViewId="0">
      <selection activeCell="I10" sqref="I10"/>
    </sheetView>
  </sheetViews>
  <sheetFormatPr defaultColWidth="8" defaultRowHeight="14.25"/>
  <cols>
    <col min="1" max="1" width="16.85546875" style="149" customWidth="1"/>
    <col min="2" max="2" width="20.140625" style="149" customWidth="1"/>
    <col min="3" max="3" width="20.140625" style="150" customWidth="1"/>
    <col min="4" max="4" width="20.140625" style="149" customWidth="1"/>
    <col min="5" max="5" width="20.140625" style="150" customWidth="1"/>
    <col min="6" max="6" width="20.140625" style="149" customWidth="1"/>
    <col min="7" max="7" width="20.140625" style="150" customWidth="1"/>
    <col min="8" max="8" width="2.42578125" style="74" customWidth="1"/>
    <col min="9" max="232" width="8" style="74"/>
    <col min="233" max="233" width="11.42578125" style="74" customWidth="1"/>
    <col min="234" max="235" width="21.28515625" style="74" customWidth="1"/>
    <col min="236" max="236" width="6.5703125" style="74" customWidth="1"/>
    <col min="237" max="238" width="19.42578125" style="74" customWidth="1"/>
    <col min="239" max="239" width="8.140625" style="74" customWidth="1"/>
    <col min="240" max="243" width="19.42578125" style="74" customWidth="1"/>
    <col min="244" max="244" width="21.85546875" style="74" customWidth="1"/>
    <col min="245" max="246" width="19.42578125" style="74" customWidth="1"/>
    <col min="247" max="488" width="8" style="74"/>
    <col min="489" max="489" width="11.42578125" style="74" customWidth="1"/>
    <col min="490" max="491" width="21.28515625" style="74" customWidth="1"/>
    <col min="492" max="492" width="6.5703125" style="74" customWidth="1"/>
    <col min="493" max="494" width="19.42578125" style="74" customWidth="1"/>
    <col min="495" max="495" width="8.140625" style="74" customWidth="1"/>
    <col min="496" max="499" width="19.42578125" style="74" customWidth="1"/>
    <col min="500" max="500" width="21.85546875" style="74" customWidth="1"/>
    <col min="501" max="502" width="19.42578125" style="74" customWidth="1"/>
    <col min="503" max="744" width="8" style="74"/>
    <col min="745" max="745" width="11.42578125" style="74" customWidth="1"/>
    <col min="746" max="747" width="21.28515625" style="74" customWidth="1"/>
    <col min="748" max="748" width="6.5703125" style="74" customWidth="1"/>
    <col min="749" max="750" width="19.42578125" style="74" customWidth="1"/>
    <col min="751" max="751" width="8.140625" style="74" customWidth="1"/>
    <col min="752" max="755" width="19.42578125" style="74" customWidth="1"/>
    <col min="756" max="756" width="21.85546875" style="74" customWidth="1"/>
    <col min="757" max="758" width="19.42578125" style="74" customWidth="1"/>
    <col min="759" max="1000" width="8" style="74"/>
    <col min="1001" max="1001" width="11.42578125" style="74" customWidth="1"/>
    <col min="1002" max="1003" width="21.28515625" style="74" customWidth="1"/>
    <col min="1004" max="1004" width="6.5703125" style="74" customWidth="1"/>
    <col min="1005" max="1006" width="19.42578125" style="74" customWidth="1"/>
    <col min="1007" max="1007" width="8.140625" style="74" customWidth="1"/>
    <col min="1008" max="1011" width="19.42578125" style="74" customWidth="1"/>
    <col min="1012" max="1012" width="21.85546875" style="74" customWidth="1"/>
    <col min="1013" max="1014" width="19.42578125" style="74" customWidth="1"/>
    <col min="1015" max="1256" width="8" style="74"/>
    <col min="1257" max="1257" width="11.42578125" style="74" customWidth="1"/>
    <col min="1258" max="1259" width="21.28515625" style="74" customWidth="1"/>
    <col min="1260" max="1260" width="6.5703125" style="74" customWidth="1"/>
    <col min="1261" max="1262" width="19.42578125" style="74" customWidth="1"/>
    <col min="1263" max="1263" width="8.140625" style="74" customWidth="1"/>
    <col min="1264" max="1267" width="19.42578125" style="74" customWidth="1"/>
    <col min="1268" max="1268" width="21.85546875" style="74" customWidth="1"/>
    <col min="1269" max="1270" width="19.42578125" style="74" customWidth="1"/>
    <col min="1271" max="1512" width="8" style="74"/>
    <col min="1513" max="1513" width="11.42578125" style="74" customWidth="1"/>
    <col min="1514" max="1515" width="21.28515625" style="74" customWidth="1"/>
    <col min="1516" max="1516" width="6.5703125" style="74" customWidth="1"/>
    <col min="1517" max="1518" width="19.42578125" style="74" customWidth="1"/>
    <col min="1519" max="1519" width="8.140625" style="74" customWidth="1"/>
    <col min="1520" max="1523" width="19.42578125" style="74" customWidth="1"/>
    <col min="1524" max="1524" width="21.85546875" style="74" customWidth="1"/>
    <col min="1525" max="1526" width="19.42578125" style="74" customWidth="1"/>
    <col min="1527" max="1768" width="8" style="74"/>
    <col min="1769" max="1769" width="11.42578125" style="74" customWidth="1"/>
    <col min="1770" max="1771" width="21.28515625" style="74" customWidth="1"/>
    <col min="1772" max="1772" width="6.5703125" style="74" customWidth="1"/>
    <col min="1773" max="1774" width="19.42578125" style="74" customWidth="1"/>
    <col min="1775" max="1775" width="8.140625" style="74" customWidth="1"/>
    <col min="1776" max="1779" width="19.42578125" style="74" customWidth="1"/>
    <col min="1780" max="1780" width="21.85546875" style="74" customWidth="1"/>
    <col min="1781" max="1782" width="19.42578125" style="74" customWidth="1"/>
    <col min="1783" max="2024" width="8" style="74"/>
    <col min="2025" max="2025" width="11.42578125" style="74" customWidth="1"/>
    <col min="2026" max="2027" width="21.28515625" style="74" customWidth="1"/>
    <col min="2028" max="2028" width="6.5703125" style="74" customWidth="1"/>
    <col min="2029" max="2030" width="19.42578125" style="74" customWidth="1"/>
    <col min="2031" max="2031" width="8.140625" style="74" customWidth="1"/>
    <col min="2032" max="2035" width="19.42578125" style="74" customWidth="1"/>
    <col min="2036" max="2036" width="21.85546875" style="74" customWidth="1"/>
    <col min="2037" max="2038" width="19.42578125" style="74" customWidth="1"/>
    <col min="2039" max="2280" width="8" style="74"/>
    <col min="2281" max="2281" width="11.42578125" style="74" customWidth="1"/>
    <col min="2282" max="2283" width="21.28515625" style="74" customWidth="1"/>
    <col min="2284" max="2284" width="6.5703125" style="74" customWidth="1"/>
    <col min="2285" max="2286" width="19.42578125" style="74" customWidth="1"/>
    <col min="2287" max="2287" width="8.140625" style="74" customWidth="1"/>
    <col min="2288" max="2291" width="19.42578125" style="74" customWidth="1"/>
    <col min="2292" max="2292" width="21.85546875" style="74" customWidth="1"/>
    <col min="2293" max="2294" width="19.42578125" style="74" customWidth="1"/>
    <col min="2295" max="2536" width="8" style="74"/>
    <col min="2537" max="2537" width="11.42578125" style="74" customWidth="1"/>
    <col min="2538" max="2539" width="21.28515625" style="74" customWidth="1"/>
    <col min="2540" max="2540" width="6.5703125" style="74" customWidth="1"/>
    <col min="2541" max="2542" width="19.42578125" style="74" customWidth="1"/>
    <col min="2543" max="2543" width="8.140625" style="74" customWidth="1"/>
    <col min="2544" max="2547" width="19.42578125" style="74" customWidth="1"/>
    <col min="2548" max="2548" width="21.85546875" style="74" customWidth="1"/>
    <col min="2549" max="2550" width="19.42578125" style="74" customWidth="1"/>
    <col min="2551" max="2792" width="8" style="74"/>
    <col min="2793" max="2793" width="11.42578125" style="74" customWidth="1"/>
    <col min="2794" max="2795" width="21.28515625" style="74" customWidth="1"/>
    <col min="2796" max="2796" width="6.5703125" style="74" customWidth="1"/>
    <col min="2797" max="2798" width="19.42578125" style="74" customWidth="1"/>
    <col min="2799" max="2799" width="8.140625" style="74" customWidth="1"/>
    <col min="2800" max="2803" width="19.42578125" style="74" customWidth="1"/>
    <col min="2804" max="2804" width="21.85546875" style="74" customWidth="1"/>
    <col min="2805" max="2806" width="19.42578125" style="74" customWidth="1"/>
    <col min="2807" max="3048" width="8" style="74"/>
    <col min="3049" max="3049" width="11.42578125" style="74" customWidth="1"/>
    <col min="3050" max="3051" width="21.28515625" style="74" customWidth="1"/>
    <col min="3052" max="3052" width="6.5703125" style="74" customWidth="1"/>
    <col min="3053" max="3054" width="19.42578125" style="74" customWidth="1"/>
    <col min="3055" max="3055" width="8.140625" style="74" customWidth="1"/>
    <col min="3056" max="3059" width="19.42578125" style="74" customWidth="1"/>
    <col min="3060" max="3060" width="21.85546875" style="74" customWidth="1"/>
    <col min="3061" max="3062" width="19.42578125" style="74" customWidth="1"/>
    <col min="3063" max="3304" width="8" style="74"/>
    <col min="3305" max="3305" width="11.42578125" style="74" customWidth="1"/>
    <col min="3306" max="3307" width="21.28515625" style="74" customWidth="1"/>
    <col min="3308" max="3308" width="6.5703125" style="74" customWidth="1"/>
    <col min="3309" max="3310" width="19.42578125" style="74" customWidth="1"/>
    <col min="3311" max="3311" width="8.140625" style="74" customWidth="1"/>
    <col min="3312" max="3315" width="19.42578125" style="74" customWidth="1"/>
    <col min="3316" max="3316" width="21.85546875" style="74" customWidth="1"/>
    <col min="3317" max="3318" width="19.42578125" style="74" customWidth="1"/>
    <col min="3319" max="3560" width="8" style="74"/>
    <col min="3561" max="3561" width="11.42578125" style="74" customWidth="1"/>
    <col min="3562" max="3563" width="21.28515625" style="74" customWidth="1"/>
    <col min="3564" max="3564" width="6.5703125" style="74" customWidth="1"/>
    <col min="3565" max="3566" width="19.42578125" style="74" customWidth="1"/>
    <col min="3567" max="3567" width="8.140625" style="74" customWidth="1"/>
    <col min="3568" max="3571" width="19.42578125" style="74" customWidth="1"/>
    <col min="3572" max="3572" width="21.85546875" style="74" customWidth="1"/>
    <col min="3573" max="3574" width="19.42578125" style="74" customWidth="1"/>
    <col min="3575" max="3816" width="8" style="74"/>
    <col min="3817" max="3817" width="11.42578125" style="74" customWidth="1"/>
    <col min="3818" max="3819" width="21.28515625" style="74" customWidth="1"/>
    <col min="3820" max="3820" width="6.5703125" style="74" customWidth="1"/>
    <col min="3821" max="3822" width="19.42578125" style="74" customWidth="1"/>
    <col min="3823" max="3823" width="8.140625" style="74" customWidth="1"/>
    <col min="3824" max="3827" width="19.42578125" style="74" customWidth="1"/>
    <col min="3828" max="3828" width="21.85546875" style="74" customWidth="1"/>
    <col min="3829" max="3830" width="19.42578125" style="74" customWidth="1"/>
    <col min="3831" max="4072" width="8" style="74"/>
    <col min="4073" max="4073" width="11.42578125" style="74" customWidth="1"/>
    <col min="4074" max="4075" width="21.28515625" style="74" customWidth="1"/>
    <col min="4076" max="4076" width="6.5703125" style="74" customWidth="1"/>
    <col min="4077" max="4078" width="19.42578125" style="74" customWidth="1"/>
    <col min="4079" max="4079" width="8.140625" style="74" customWidth="1"/>
    <col min="4080" max="4083" width="19.42578125" style="74" customWidth="1"/>
    <col min="4084" max="4084" width="21.85546875" style="74" customWidth="1"/>
    <col min="4085" max="4086" width="19.42578125" style="74" customWidth="1"/>
    <col min="4087" max="4328" width="8" style="74"/>
    <col min="4329" max="4329" width="11.42578125" style="74" customWidth="1"/>
    <col min="4330" max="4331" width="21.28515625" style="74" customWidth="1"/>
    <col min="4332" max="4332" width="6.5703125" style="74" customWidth="1"/>
    <col min="4333" max="4334" width="19.42578125" style="74" customWidth="1"/>
    <col min="4335" max="4335" width="8.140625" style="74" customWidth="1"/>
    <col min="4336" max="4339" width="19.42578125" style="74" customWidth="1"/>
    <col min="4340" max="4340" width="21.85546875" style="74" customWidth="1"/>
    <col min="4341" max="4342" width="19.42578125" style="74" customWidth="1"/>
    <col min="4343" max="4584" width="8" style="74"/>
    <col min="4585" max="4585" width="11.42578125" style="74" customWidth="1"/>
    <col min="4586" max="4587" width="21.28515625" style="74" customWidth="1"/>
    <col min="4588" max="4588" width="6.5703125" style="74" customWidth="1"/>
    <col min="4589" max="4590" width="19.42578125" style="74" customWidth="1"/>
    <col min="4591" max="4591" width="8.140625" style="74" customWidth="1"/>
    <col min="4592" max="4595" width="19.42578125" style="74" customWidth="1"/>
    <col min="4596" max="4596" width="21.85546875" style="74" customWidth="1"/>
    <col min="4597" max="4598" width="19.42578125" style="74" customWidth="1"/>
    <col min="4599" max="4840" width="8" style="74"/>
    <col min="4841" max="4841" width="11.42578125" style="74" customWidth="1"/>
    <col min="4842" max="4843" width="21.28515625" style="74" customWidth="1"/>
    <col min="4844" max="4844" width="6.5703125" style="74" customWidth="1"/>
    <col min="4845" max="4846" width="19.42578125" style="74" customWidth="1"/>
    <col min="4847" max="4847" width="8.140625" style="74" customWidth="1"/>
    <col min="4848" max="4851" width="19.42578125" style="74" customWidth="1"/>
    <col min="4852" max="4852" width="21.85546875" style="74" customWidth="1"/>
    <col min="4853" max="4854" width="19.42578125" style="74" customWidth="1"/>
    <col min="4855" max="5096" width="8" style="74"/>
    <col min="5097" max="5097" width="11.42578125" style="74" customWidth="1"/>
    <col min="5098" max="5099" width="21.28515625" style="74" customWidth="1"/>
    <col min="5100" max="5100" width="6.5703125" style="74" customWidth="1"/>
    <col min="5101" max="5102" width="19.42578125" style="74" customWidth="1"/>
    <col min="5103" max="5103" width="8.140625" style="74" customWidth="1"/>
    <col min="5104" max="5107" width="19.42578125" style="74" customWidth="1"/>
    <col min="5108" max="5108" width="21.85546875" style="74" customWidth="1"/>
    <col min="5109" max="5110" width="19.42578125" style="74" customWidth="1"/>
    <col min="5111" max="5352" width="8" style="74"/>
    <col min="5353" max="5353" width="11.42578125" style="74" customWidth="1"/>
    <col min="5354" max="5355" width="21.28515625" style="74" customWidth="1"/>
    <col min="5356" max="5356" width="6.5703125" style="74" customWidth="1"/>
    <col min="5357" max="5358" width="19.42578125" style="74" customWidth="1"/>
    <col min="5359" max="5359" width="8.140625" style="74" customWidth="1"/>
    <col min="5360" max="5363" width="19.42578125" style="74" customWidth="1"/>
    <col min="5364" max="5364" width="21.85546875" style="74" customWidth="1"/>
    <col min="5365" max="5366" width="19.42578125" style="74" customWidth="1"/>
    <col min="5367" max="5608" width="8" style="74"/>
    <col min="5609" max="5609" width="11.42578125" style="74" customWidth="1"/>
    <col min="5610" max="5611" width="21.28515625" style="74" customWidth="1"/>
    <col min="5612" max="5612" width="6.5703125" style="74" customWidth="1"/>
    <col min="5613" max="5614" width="19.42578125" style="74" customWidth="1"/>
    <col min="5615" max="5615" width="8.140625" style="74" customWidth="1"/>
    <col min="5616" max="5619" width="19.42578125" style="74" customWidth="1"/>
    <col min="5620" max="5620" width="21.85546875" style="74" customWidth="1"/>
    <col min="5621" max="5622" width="19.42578125" style="74" customWidth="1"/>
    <col min="5623" max="5864" width="8" style="74"/>
    <col min="5865" max="5865" width="11.42578125" style="74" customWidth="1"/>
    <col min="5866" max="5867" width="21.28515625" style="74" customWidth="1"/>
    <col min="5868" max="5868" width="6.5703125" style="74" customWidth="1"/>
    <col min="5869" max="5870" width="19.42578125" style="74" customWidth="1"/>
    <col min="5871" max="5871" width="8.140625" style="74" customWidth="1"/>
    <col min="5872" max="5875" width="19.42578125" style="74" customWidth="1"/>
    <col min="5876" max="5876" width="21.85546875" style="74" customWidth="1"/>
    <col min="5877" max="5878" width="19.42578125" style="74" customWidth="1"/>
    <col min="5879" max="6120" width="8" style="74"/>
    <col min="6121" max="6121" width="11.42578125" style="74" customWidth="1"/>
    <col min="6122" max="6123" width="21.28515625" style="74" customWidth="1"/>
    <col min="6124" max="6124" width="6.5703125" style="74" customWidth="1"/>
    <col min="6125" max="6126" width="19.42578125" style="74" customWidth="1"/>
    <col min="6127" max="6127" width="8.140625" style="74" customWidth="1"/>
    <col min="6128" max="6131" width="19.42578125" style="74" customWidth="1"/>
    <col min="6132" max="6132" width="21.85546875" style="74" customWidth="1"/>
    <col min="6133" max="6134" width="19.42578125" style="74" customWidth="1"/>
    <col min="6135" max="6376" width="8" style="74"/>
    <col min="6377" max="6377" width="11.42578125" style="74" customWidth="1"/>
    <col min="6378" max="6379" width="21.28515625" style="74" customWidth="1"/>
    <col min="6380" max="6380" width="6.5703125" style="74" customWidth="1"/>
    <col min="6381" max="6382" width="19.42578125" style="74" customWidth="1"/>
    <col min="6383" max="6383" width="8.140625" style="74" customWidth="1"/>
    <col min="6384" max="6387" width="19.42578125" style="74" customWidth="1"/>
    <col min="6388" max="6388" width="21.85546875" style="74" customWidth="1"/>
    <col min="6389" max="6390" width="19.42578125" style="74" customWidth="1"/>
    <col min="6391" max="6632" width="8" style="74"/>
    <col min="6633" max="6633" width="11.42578125" style="74" customWidth="1"/>
    <col min="6634" max="6635" width="21.28515625" style="74" customWidth="1"/>
    <col min="6636" max="6636" width="6.5703125" style="74" customWidth="1"/>
    <col min="6637" max="6638" width="19.42578125" style="74" customWidth="1"/>
    <col min="6639" max="6639" width="8.140625" style="74" customWidth="1"/>
    <col min="6640" max="6643" width="19.42578125" style="74" customWidth="1"/>
    <col min="6644" max="6644" width="21.85546875" style="74" customWidth="1"/>
    <col min="6645" max="6646" width="19.42578125" style="74" customWidth="1"/>
    <col min="6647" max="6888" width="8" style="74"/>
    <col min="6889" max="6889" width="11.42578125" style="74" customWidth="1"/>
    <col min="6890" max="6891" width="21.28515625" style="74" customWidth="1"/>
    <col min="6892" max="6892" width="6.5703125" style="74" customWidth="1"/>
    <col min="6893" max="6894" width="19.42578125" style="74" customWidth="1"/>
    <col min="6895" max="6895" width="8.140625" style="74" customWidth="1"/>
    <col min="6896" max="6899" width="19.42578125" style="74" customWidth="1"/>
    <col min="6900" max="6900" width="21.85546875" style="74" customWidth="1"/>
    <col min="6901" max="6902" width="19.42578125" style="74" customWidth="1"/>
    <col min="6903" max="7144" width="8" style="74"/>
    <col min="7145" max="7145" width="11.42578125" style="74" customWidth="1"/>
    <col min="7146" max="7147" width="21.28515625" style="74" customWidth="1"/>
    <col min="7148" max="7148" width="6.5703125" style="74" customWidth="1"/>
    <col min="7149" max="7150" width="19.42578125" style="74" customWidth="1"/>
    <col min="7151" max="7151" width="8.140625" style="74" customWidth="1"/>
    <col min="7152" max="7155" width="19.42578125" style="74" customWidth="1"/>
    <col min="7156" max="7156" width="21.85546875" style="74" customWidth="1"/>
    <col min="7157" max="7158" width="19.42578125" style="74" customWidth="1"/>
    <col min="7159" max="7400" width="8" style="74"/>
    <col min="7401" max="7401" width="11.42578125" style="74" customWidth="1"/>
    <col min="7402" max="7403" width="21.28515625" style="74" customWidth="1"/>
    <col min="7404" max="7404" width="6.5703125" style="74" customWidth="1"/>
    <col min="7405" max="7406" width="19.42578125" style="74" customWidth="1"/>
    <col min="7407" max="7407" width="8.140625" style="74" customWidth="1"/>
    <col min="7408" max="7411" width="19.42578125" style="74" customWidth="1"/>
    <col min="7412" max="7412" width="21.85546875" style="74" customWidth="1"/>
    <col min="7413" max="7414" width="19.42578125" style="74" customWidth="1"/>
    <col min="7415" max="7656" width="8" style="74"/>
    <col min="7657" max="7657" width="11.42578125" style="74" customWidth="1"/>
    <col min="7658" max="7659" width="21.28515625" style="74" customWidth="1"/>
    <col min="7660" max="7660" width="6.5703125" style="74" customWidth="1"/>
    <col min="7661" max="7662" width="19.42578125" style="74" customWidth="1"/>
    <col min="7663" max="7663" width="8.140625" style="74" customWidth="1"/>
    <col min="7664" max="7667" width="19.42578125" style="74" customWidth="1"/>
    <col min="7668" max="7668" width="21.85546875" style="74" customWidth="1"/>
    <col min="7669" max="7670" width="19.42578125" style="74" customWidth="1"/>
    <col min="7671" max="7912" width="8" style="74"/>
    <col min="7913" max="7913" width="11.42578125" style="74" customWidth="1"/>
    <col min="7914" max="7915" width="21.28515625" style="74" customWidth="1"/>
    <col min="7916" max="7916" width="6.5703125" style="74" customWidth="1"/>
    <col min="7917" max="7918" width="19.42578125" style="74" customWidth="1"/>
    <col min="7919" max="7919" width="8.140625" style="74" customWidth="1"/>
    <col min="7920" max="7923" width="19.42578125" style="74" customWidth="1"/>
    <col min="7924" max="7924" width="21.85546875" style="74" customWidth="1"/>
    <col min="7925" max="7926" width="19.42578125" style="74" customWidth="1"/>
    <col min="7927" max="8168" width="8" style="74"/>
    <col min="8169" max="8169" width="11.42578125" style="74" customWidth="1"/>
    <col min="8170" max="8171" width="21.28515625" style="74" customWidth="1"/>
    <col min="8172" max="8172" width="6.5703125" style="74" customWidth="1"/>
    <col min="8173" max="8174" width="19.42578125" style="74" customWidth="1"/>
    <col min="8175" max="8175" width="8.140625" style="74" customWidth="1"/>
    <col min="8176" max="8179" width="19.42578125" style="74" customWidth="1"/>
    <col min="8180" max="8180" width="21.85546875" style="74" customWidth="1"/>
    <col min="8181" max="8182" width="19.42578125" style="74" customWidth="1"/>
    <col min="8183" max="8424" width="8" style="74"/>
    <col min="8425" max="8425" width="11.42578125" style="74" customWidth="1"/>
    <col min="8426" max="8427" width="21.28515625" style="74" customWidth="1"/>
    <col min="8428" max="8428" width="6.5703125" style="74" customWidth="1"/>
    <col min="8429" max="8430" width="19.42578125" style="74" customWidth="1"/>
    <col min="8431" max="8431" width="8.140625" style="74" customWidth="1"/>
    <col min="8432" max="8435" width="19.42578125" style="74" customWidth="1"/>
    <col min="8436" max="8436" width="21.85546875" style="74" customWidth="1"/>
    <col min="8437" max="8438" width="19.42578125" style="74" customWidth="1"/>
    <col min="8439" max="8680" width="8" style="74"/>
    <col min="8681" max="8681" width="11.42578125" style="74" customWidth="1"/>
    <col min="8682" max="8683" width="21.28515625" style="74" customWidth="1"/>
    <col min="8684" max="8684" width="6.5703125" style="74" customWidth="1"/>
    <col min="8685" max="8686" width="19.42578125" style="74" customWidth="1"/>
    <col min="8687" max="8687" width="8.140625" style="74" customWidth="1"/>
    <col min="8688" max="8691" width="19.42578125" style="74" customWidth="1"/>
    <col min="8692" max="8692" width="21.85546875" style="74" customWidth="1"/>
    <col min="8693" max="8694" width="19.42578125" style="74" customWidth="1"/>
    <col min="8695" max="8936" width="8" style="74"/>
    <col min="8937" max="8937" width="11.42578125" style="74" customWidth="1"/>
    <col min="8938" max="8939" width="21.28515625" style="74" customWidth="1"/>
    <col min="8940" max="8940" width="6.5703125" style="74" customWidth="1"/>
    <col min="8941" max="8942" width="19.42578125" style="74" customWidth="1"/>
    <col min="8943" max="8943" width="8.140625" style="74" customWidth="1"/>
    <col min="8944" max="8947" width="19.42578125" style="74" customWidth="1"/>
    <col min="8948" max="8948" width="21.85546875" style="74" customWidth="1"/>
    <col min="8949" max="8950" width="19.42578125" style="74" customWidth="1"/>
    <col min="8951" max="9192" width="8" style="74"/>
    <col min="9193" max="9193" width="11.42578125" style="74" customWidth="1"/>
    <col min="9194" max="9195" width="21.28515625" style="74" customWidth="1"/>
    <col min="9196" max="9196" width="6.5703125" style="74" customWidth="1"/>
    <col min="9197" max="9198" width="19.42578125" style="74" customWidth="1"/>
    <col min="9199" max="9199" width="8.140625" style="74" customWidth="1"/>
    <col min="9200" max="9203" width="19.42578125" style="74" customWidth="1"/>
    <col min="9204" max="9204" width="21.85546875" style="74" customWidth="1"/>
    <col min="9205" max="9206" width="19.42578125" style="74" customWidth="1"/>
    <col min="9207" max="9448" width="8" style="74"/>
    <col min="9449" max="9449" width="11.42578125" style="74" customWidth="1"/>
    <col min="9450" max="9451" width="21.28515625" style="74" customWidth="1"/>
    <col min="9452" max="9452" width="6.5703125" style="74" customWidth="1"/>
    <col min="9453" max="9454" width="19.42578125" style="74" customWidth="1"/>
    <col min="9455" max="9455" width="8.140625" style="74" customWidth="1"/>
    <col min="9456" max="9459" width="19.42578125" style="74" customWidth="1"/>
    <col min="9460" max="9460" width="21.85546875" style="74" customWidth="1"/>
    <col min="9461" max="9462" width="19.42578125" style="74" customWidth="1"/>
    <col min="9463" max="9704" width="8" style="74"/>
    <col min="9705" max="9705" width="11.42578125" style="74" customWidth="1"/>
    <col min="9706" max="9707" width="21.28515625" style="74" customWidth="1"/>
    <col min="9708" max="9708" width="6.5703125" style="74" customWidth="1"/>
    <col min="9709" max="9710" width="19.42578125" style="74" customWidth="1"/>
    <col min="9711" max="9711" width="8.140625" style="74" customWidth="1"/>
    <col min="9712" max="9715" width="19.42578125" style="74" customWidth="1"/>
    <col min="9716" max="9716" width="21.85546875" style="74" customWidth="1"/>
    <col min="9717" max="9718" width="19.42578125" style="74" customWidth="1"/>
    <col min="9719" max="9960" width="8" style="74"/>
    <col min="9961" max="9961" width="11.42578125" style="74" customWidth="1"/>
    <col min="9962" max="9963" width="21.28515625" style="74" customWidth="1"/>
    <col min="9964" max="9964" width="6.5703125" style="74" customWidth="1"/>
    <col min="9965" max="9966" width="19.42578125" style="74" customWidth="1"/>
    <col min="9967" max="9967" width="8.140625" style="74" customWidth="1"/>
    <col min="9968" max="9971" width="19.42578125" style="74" customWidth="1"/>
    <col min="9972" max="9972" width="21.85546875" style="74" customWidth="1"/>
    <col min="9973" max="9974" width="19.42578125" style="74" customWidth="1"/>
    <col min="9975" max="10216" width="8" style="74"/>
    <col min="10217" max="10217" width="11.42578125" style="74" customWidth="1"/>
    <col min="10218" max="10219" width="21.28515625" style="74" customWidth="1"/>
    <col min="10220" max="10220" width="6.5703125" style="74" customWidth="1"/>
    <col min="10221" max="10222" width="19.42578125" style="74" customWidth="1"/>
    <col min="10223" max="10223" width="8.140625" style="74" customWidth="1"/>
    <col min="10224" max="10227" width="19.42578125" style="74" customWidth="1"/>
    <col min="10228" max="10228" width="21.85546875" style="74" customWidth="1"/>
    <col min="10229" max="10230" width="19.42578125" style="74" customWidth="1"/>
    <col min="10231" max="10472" width="8" style="74"/>
    <col min="10473" max="10473" width="11.42578125" style="74" customWidth="1"/>
    <col min="10474" max="10475" width="21.28515625" style="74" customWidth="1"/>
    <col min="10476" max="10476" width="6.5703125" style="74" customWidth="1"/>
    <col min="10477" max="10478" width="19.42578125" style="74" customWidth="1"/>
    <col min="10479" max="10479" width="8.140625" style="74" customWidth="1"/>
    <col min="10480" max="10483" width="19.42578125" style="74" customWidth="1"/>
    <col min="10484" max="10484" width="21.85546875" style="74" customWidth="1"/>
    <col min="10485" max="10486" width="19.42578125" style="74" customWidth="1"/>
    <col min="10487" max="10728" width="8" style="74"/>
    <col min="10729" max="10729" width="11.42578125" style="74" customWidth="1"/>
    <col min="10730" max="10731" width="21.28515625" style="74" customWidth="1"/>
    <col min="10732" max="10732" width="6.5703125" style="74" customWidth="1"/>
    <col min="10733" max="10734" width="19.42578125" style="74" customWidth="1"/>
    <col min="10735" max="10735" width="8.140625" style="74" customWidth="1"/>
    <col min="10736" max="10739" width="19.42578125" style="74" customWidth="1"/>
    <col min="10740" max="10740" width="21.85546875" style="74" customWidth="1"/>
    <col min="10741" max="10742" width="19.42578125" style="74" customWidth="1"/>
    <col min="10743" max="10984" width="8" style="74"/>
    <col min="10985" max="10985" width="11.42578125" style="74" customWidth="1"/>
    <col min="10986" max="10987" width="21.28515625" style="74" customWidth="1"/>
    <col min="10988" max="10988" width="6.5703125" style="74" customWidth="1"/>
    <col min="10989" max="10990" width="19.42578125" style="74" customWidth="1"/>
    <col min="10991" max="10991" width="8.140625" style="74" customWidth="1"/>
    <col min="10992" max="10995" width="19.42578125" style="74" customWidth="1"/>
    <col min="10996" max="10996" width="21.85546875" style="74" customWidth="1"/>
    <col min="10997" max="10998" width="19.42578125" style="74" customWidth="1"/>
    <col min="10999" max="11240" width="8" style="74"/>
    <col min="11241" max="11241" width="11.42578125" style="74" customWidth="1"/>
    <col min="11242" max="11243" width="21.28515625" style="74" customWidth="1"/>
    <col min="11244" max="11244" width="6.5703125" style="74" customWidth="1"/>
    <col min="11245" max="11246" width="19.42578125" style="74" customWidth="1"/>
    <col min="11247" max="11247" width="8.140625" style="74" customWidth="1"/>
    <col min="11248" max="11251" width="19.42578125" style="74" customWidth="1"/>
    <col min="11252" max="11252" width="21.85546875" style="74" customWidth="1"/>
    <col min="11253" max="11254" width="19.42578125" style="74" customWidth="1"/>
    <col min="11255" max="11496" width="8" style="74"/>
    <col min="11497" max="11497" width="11.42578125" style="74" customWidth="1"/>
    <col min="11498" max="11499" width="21.28515625" style="74" customWidth="1"/>
    <col min="11500" max="11500" width="6.5703125" style="74" customWidth="1"/>
    <col min="11501" max="11502" width="19.42578125" style="74" customWidth="1"/>
    <col min="11503" max="11503" width="8.140625" style="74" customWidth="1"/>
    <col min="11504" max="11507" width="19.42578125" style="74" customWidth="1"/>
    <col min="11508" max="11508" width="21.85546875" style="74" customWidth="1"/>
    <col min="11509" max="11510" width="19.42578125" style="74" customWidth="1"/>
    <col min="11511" max="11752" width="8" style="74"/>
    <col min="11753" max="11753" width="11.42578125" style="74" customWidth="1"/>
    <col min="11754" max="11755" width="21.28515625" style="74" customWidth="1"/>
    <col min="11756" max="11756" width="6.5703125" style="74" customWidth="1"/>
    <col min="11757" max="11758" width="19.42578125" style="74" customWidth="1"/>
    <col min="11759" max="11759" width="8.140625" style="74" customWidth="1"/>
    <col min="11760" max="11763" width="19.42578125" style="74" customWidth="1"/>
    <col min="11764" max="11764" width="21.85546875" style="74" customWidth="1"/>
    <col min="11765" max="11766" width="19.42578125" style="74" customWidth="1"/>
    <col min="11767" max="12008" width="8" style="74"/>
    <col min="12009" max="12009" width="11.42578125" style="74" customWidth="1"/>
    <col min="12010" max="12011" width="21.28515625" style="74" customWidth="1"/>
    <col min="12012" max="12012" width="6.5703125" style="74" customWidth="1"/>
    <col min="12013" max="12014" width="19.42578125" style="74" customWidth="1"/>
    <col min="12015" max="12015" width="8.140625" style="74" customWidth="1"/>
    <col min="12016" max="12019" width="19.42578125" style="74" customWidth="1"/>
    <col min="12020" max="12020" width="21.85546875" style="74" customWidth="1"/>
    <col min="12021" max="12022" width="19.42578125" style="74" customWidth="1"/>
    <col min="12023" max="12264" width="8" style="74"/>
    <col min="12265" max="12265" width="11.42578125" style="74" customWidth="1"/>
    <col min="12266" max="12267" width="21.28515625" style="74" customWidth="1"/>
    <col min="12268" max="12268" width="6.5703125" style="74" customWidth="1"/>
    <col min="12269" max="12270" width="19.42578125" style="74" customWidth="1"/>
    <col min="12271" max="12271" width="8.140625" style="74" customWidth="1"/>
    <col min="12272" max="12275" width="19.42578125" style="74" customWidth="1"/>
    <col min="12276" max="12276" width="21.85546875" style="74" customWidth="1"/>
    <col min="12277" max="12278" width="19.42578125" style="74" customWidth="1"/>
    <col min="12279" max="12520" width="8" style="74"/>
    <col min="12521" max="12521" width="11.42578125" style="74" customWidth="1"/>
    <col min="12522" max="12523" width="21.28515625" style="74" customWidth="1"/>
    <col min="12524" max="12524" width="6.5703125" style="74" customWidth="1"/>
    <col min="12525" max="12526" width="19.42578125" style="74" customWidth="1"/>
    <col min="12527" max="12527" width="8.140625" style="74" customWidth="1"/>
    <col min="12528" max="12531" width="19.42578125" style="74" customWidth="1"/>
    <col min="12532" max="12532" width="21.85546875" style="74" customWidth="1"/>
    <col min="12533" max="12534" width="19.42578125" style="74" customWidth="1"/>
    <col min="12535" max="12776" width="8" style="74"/>
    <col min="12777" max="12777" width="11.42578125" style="74" customWidth="1"/>
    <col min="12778" max="12779" width="21.28515625" style="74" customWidth="1"/>
    <col min="12780" max="12780" width="6.5703125" style="74" customWidth="1"/>
    <col min="12781" max="12782" width="19.42578125" style="74" customWidth="1"/>
    <col min="12783" max="12783" width="8.140625" style="74" customWidth="1"/>
    <col min="12784" max="12787" width="19.42578125" style="74" customWidth="1"/>
    <col min="12788" max="12788" width="21.85546875" style="74" customWidth="1"/>
    <col min="12789" max="12790" width="19.42578125" style="74" customWidth="1"/>
    <col min="12791" max="13032" width="8" style="74"/>
    <col min="13033" max="13033" width="11.42578125" style="74" customWidth="1"/>
    <col min="13034" max="13035" width="21.28515625" style="74" customWidth="1"/>
    <col min="13036" max="13036" width="6.5703125" style="74" customWidth="1"/>
    <col min="13037" max="13038" width="19.42578125" style="74" customWidth="1"/>
    <col min="13039" max="13039" width="8.140625" style="74" customWidth="1"/>
    <col min="13040" max="13043" width="19.42578125" style="74" customWidth="1"/>
    <col min="13044" max="13044" width="21.85546875" style="74" customWidth="1"/>
    <col min="13045" max="13046" width="19.42578125" style="74" customWidth="1"/>
    <col min="13047" max="13288" width="8" style="74"/>
    <col min="13289" max="13289" width="11.42578125" style="74" customWidth="1"/>
    <col min="13290" max="13291" width="21.28515625" style="74" customWidth="1"/>
    <col min="13292" max="13292" width="6.5703125" style="74" customWidth="1"/>
    <col min="13293" max="13294" width="19.42578125" style="74" customWidth="1"/>
    <col min="13295" max="13295" width="8.140625" style="74" customWidth="1"/>
    <col min="13296" max="13299" width="19.42578125" style="74" customWidth="1"/>
    <col min="13300" max="13300" width="21.85546875" style="74" customWidth="1"/>
    <col min="13301" max="13302" width="19.42578125" style="74" customWidth="1"/>
    <col min="13303" max="13544" width="8" style="74"/>
    <col min="13545" max="13545" width="11.42578125" style="74" customWidth="1"/>
    <col min="13546" max="13547" width="21.28515625" style="74" customWidth="1"/>
    <col min="13548" max="13548" width="6.5703125" style="74" customWidth="1"/>
    <col min="13549" max="13550" width="19.42578125" style="74" customWidth="1"/>
    <col min="13551" max="13551" width="8.140625" style="74" customWidth="1"/>
    <col min="13552" max="13555" width="19.42578125" style="74" customWidth="1"/>
    <col min="13556" max="13556" width="21.85546875" style="74" customWidth="1"/>
    <col min="13557" max="13558" width="19.42578125" style="74" customWidth="1"/>
    <col min="13559" max="13800" width="8" style="74"/>
    <col min="13801" max="13801" width="11.42578125" style="74" customWidth="1"/>
    <col min="13802" max="13803" width="21.28515625" style="74" customWidth="1"/>
    <col min="13804" max="13804" width="6.5703125" style="74" customWidth="1"/>
    <col min="13805" max="13806" width="19.42578125" style="74" customWidth="1"/>
    <col min="13807" max="13807" width="8.140625" style="74" customWidth="1"/>
    <col min="13808" max="13811" width="19.42578125" style="74" customWidth="1"/>
    <col min="13812" max="13812" width="21.85546875" style="74" customWidth="1"/>
    <col min="13813" max="13814" width="19.42578125" style="74" customWidth="1"/>
    <col min="13815" max="14056" width="8" style="74"/>
    <col min="14057" max="14057" width="11.42578125" style="74" customWidth="1"/>
    <col min="14058" max="14059" width="21.28515625" style="74" customWidth="1"/>
    <col min="14060" max="14060" width="6.5703125" style="74" customWidth="1"/>
    <col min="14061" max="14062" width="19.42578125" style="74" customWidth="1"/>
    <col min="14063" max="14063" width="8.140625" style="74" customWidth="1"/>
    <col min="14064" max="14067" width="19.42578125" style="74" customWidth="1"/>
    <col min="14068" max="14068" width="21.85546875" style="74" customWidth="1"/>
    <col min="14069" max="14070" width="19.42578125" style="74" customWidth="1"/>
    <col min="14071" max="14312" width="8" style="74"/>
    <col min="14313" max="14313" width="11.42578125" style="74" customWidth="1"/>
    <col min="14314" max="14315" width="21.28515625" style="74" customWidth="1"/>
    <col min="14316" max="14316" width="6.5703125" style="74" customWidth="1"/>
    <col min="14317" max="14318" width="19.42578125" style="74" customWidth="1"/>
    <col min="14319" max="14319" width="8.140625" style="74" customWidth="1"/>
    <col min="14320" max="14323" width="19.42578125" style="74" customWidth="1"/>
    <col min="14324" max="14324" width="21.85546875" style="74" customWidth="1"/>
    <col min="14325" max="14326" width="19.42578125" style="74" customWidth="1"/>
    <col min="14327" max="14568" width="8" style="74"/>
    <col min="14569" max="14569" width="11.42578125" style="74" customWidth="1"/>
    <col min="14570" max="14571" width="21.28515625" style="74" customWidth="1"/>
    <col min="14572" max="14572" width="6.5703125" style="74" customWidth="1"/>
    <col min="14573" max="14574" width="19.42578125" style="74" customWidth="1"/>
    <col min="14575" max="14575" width="8.140625" style="74" customWidth="1"/>
    <col min="14576" max="14579" width="19.42578125" style="74" customWidth="1"/>
    <col min="14580" max="14580" width="21.85546875" style="74" customWidth="1"/>
    <col min="14581" max="14582" width="19.42578125" style="74" customWidth="1"/>
    <col min="14583" max="14824" width="8" style="74"/>
    <col min="14825" max="14825" width="11.42578125" style="74" customWidth="1"/>
    <col min="14826" max="14827" width="21.28515625" style="74" customWidth="1"/>
    <col min="14828" max="14828" width="6.5703125" style="74" customWidth="1"/>
    <col min="14829" max="14830" width="19.42578125" style="74" customWidth="1"/>
    <col min="14831" max="14831" width="8.140625" style="74" customWidth="1"/>
    <col min="14832" max="14835" width="19.42578125" style="74" customWidth="1"/>
    <col min="14836" max="14836" width="21.85546875" style="74" customWidth="1"/>
    <col min="14837" max="14838" width="19.42578125" style="74" customWidth="1"/>
    <col min="14839" max="15080" width="8" style="74"/>
    <col min="15081" max="15081" width="11.42578125" style="74" customWidth="1"/>
    <col min="15082" max="15083" width="21.28515625" style="74" customWidth="1"/>
    <col min="15084" max="15084" width="6.5703125" style="74" customWidth="1"/>
    <col min="15085" max="15086" width="19.42578125" style="74" customWidth="1"/>
    <col min="15087" max="15087" width="8.140625" style="74" customWidth="1"/>
    <col min="15088" max="15091" width="19.42578125" style="74" customWidth="1"/>
    <col min="15092" max="15092" width="21.85546875" style="74" customWidth="1"/>
    <col min="15093" max="15094" width="19.42578125" style="74" customWidth="1"/>
    <col min="15095" max="15336" width="8" style="74"/>
    <col min="15337" max="15337" width="11.42578125" style="74" customWidth="1"/>
    <col min="15338" max="15339" width="21.28515625" style="74" customWidth="1"/>
    <col min="15340" max="15340" width="6.5703125" style="74" customWidth="1"/>
    <col min="15341" max="15342" width="19.42578125" style="74" customWidth="1"/>
    <col min="15343" max="15343" width="8.140625" style="74" customWidth="1"/>
    <col min="15344" max="15347" width="19.42578125" style="74" customWidth="1"/>
    <col min="15348" max="15348" width="21.85546875" style="74" customWidth="1"/>
    <col min="15349" max="15350" width="19.42578125" style="74" customWidth="1"/>
    <col min="15351" max="15592" width="8" style="74"/>
    <col min="15593" max="15593" width="11.42578125" style="74" customWidth="1"/>
    <col min="15594" max="15595" width="21.28515625" style="74" customWidth="1"/>
    <col min="15596" max="15596" width="6.5703125" style="74" customWidth="1"/>
    <col min="15597" max="15598" width="19.42578125" style="74" customWidth="1"/>
    <col min="15599" max="15599" width="8.140625" style="74" customWidth="1"/>
    <col min="15600" max="15603" width="19.42578125" style="74" customWidth="1"/>
    <col min="15604" max="15604" width="21.85546875" style="74" customWidth="1"/>
    <col min="15605" max="15606" width="19.42578125" style="74" customWidth="1"/>
    <col min="15607" max="15848" width="8" style="74"/>
    <col min="15849" max="15849" width="11.42578125" style="74" customWidth="1"/>
    <col min="15850" max="15851" width="21.28515625" style="74" customWidth="1"/>
    <col min="15852" max="15852" width="6.5703125" style="74" customWidth="1"/>
    <col min="15853" max="15854" width="19.42578125" style="74" customWidth="1"/>
    <col min="15855" max="15855" width="8.140625" style="74" customWidth="1"/>
    <col min="15856" max="15859" width="19.42578125" style="74" customWidth="1"/>
    <col min="15860" max="15860" width="21.85546875" style="74" customWidth="1"/>
    <col min="15861" max="15862" width="19.42578125" style="74" customWidth="1"/>
    <col min="15863" max="16104" width="8" style="74"/>
    <col min="16105" max="16105" width="11.42578125" style="74" customWidth="1"/>
    <col min="16106" max="16107" width="21.28515625" style="74" customWidth="1"/>
    <col min="16108" max="16108" width="6.5703125" style="74" customWidth="1"/>
    <col min="16109" max="16110" width="19.42578125" style="74" customWidth="1"/>
    <col min="16111" max="16111" width="8.140625" style="74" customWidth="1"/>
    <col min="16112" max="16115" width="19.42578125" style="74" customWidth="1"/>
    <col min="16116" max="16116" width="21.85546875" style="74" customWidth="1"/>
    <col min="16117" max="16118" width="19.42578125" style="74" customWidth="1"/>
    <col min="16119" max="16384" width="8" style="74"/>
  </cols>
  <sheetData>
    <row r="1" spans="1:7">
      <c r="A1" s="72" t="s">
        <v>794</v>
      </c>
      <c r="B1" s="72" t="s">
        <v>847</v>
      </c>
      <c r="C1" s="73"/>
      <c r="D1" s="72" t="s">
        <v>848</v>
      </c>
      <c r="E1" s="73"/>
      <c r="F1" s="73"/>
      <c r="G1" s="73"/>
    </row>
    <row r="2" spans="1:7" ht="17.25" customHeight="1">
      <c r="A2" s="72" t="s">
        <v>795</v>
      </c>
      <c r="B2" s="72"/>
      <c r="C2" s="73"/>
      <c r="D2" s="72"/>
      <c r="E2" s="73"/>
      <c r="F2" s="73"/>
      <c r="G2" s="73"/>
    </row>
    <row r="3" spans="1:7">
      <c r="A3" s="75" t="s">
        <v>796</v>
      </c>
      <c r="B3" s="75"/>
      <c r="C3" s="76"/>
      <c r="D3" s="75" t="s">
        <v>849</v>
      </c>
      <c r="E3" s="76"/>
      <c r="F3" s="76"/>
      <c r="G3" s="76"/>
    </row>
    <row r="4" spans="1:7">
      <c r="A4" s="75" t="s">
        <v>797</v>
      </c>
      <c r="B4" s="75"/>
      <c r="C4" s="76"/>
      <c r="D4" s="75" t="s">
        <v>850</v>
      </c>
      <c r="E4" s="77" t="s">
        <v>851</v>
      </c>
      <c r="F4" s="76"/>
      <c r="G4" s="76"/>
    </row>
    <row r="5" spans="1:7">
      <c r="A5" s="78" t="s">
        <v>798</v>
      </c>
      <c r="B5" s="75"/>
      <c r="C5" s="76"/>
      <c r="D5" s="75" t="s">
        <v>852</v>
      </c>
      <c r="E5" s="77" t="s">
        <v>853</v>
      </c>
      <c r="F5" s="76"/>
      <c r="G5" s="76"/>
    </row>
    <row r="6" spans="1:7">
      <c r="A6" s="79" t="s">
        <v>854</v>
      </c>
      <c r="B6" s="80"/>
      <c r="C6" s="81"/>
      <c r="D6" s="80"/>
      <c r="E6" s="81"/>
      <c r="F6" s="80"/>
      <c r="G6" s="81"/>
    </row>
    <row r="7" spans="1:7">
      <c r="A7" s="79" t="s">
        <v>855</v>
      </c>
      <c r="B7" s="82"/>
      <c r="C7" s="83"/>
      <c r="D7" s="82"/>
      <c r="E7" s="83"/>
      <c r="F7" s="82"/>
      <c r="G7" s="83"/>
    </row>
    <row r="8" spans="1:7" ht="26.25" customHeight="1">
      <c r="A8" s="79" t="s">
        <v>799</v>
      </c>
      <c r="B8" s="84" t="s">
        <v>856</v>
      </c>
      <c r="C8" s="81"/>
      <c r="D8" s="85"/>
      <c r="E8" s="81"/>
      <c r="F8" s="85"/>
      <c r="G8" s="81"/>
    </row>
    <row r="9" spans="1:7" ht="24.75" customHeight="1">
      <c r="A9" s="79" t="s">
        <v>800</v>
      </c>
      <c r="B9" s="80" t="s">
        <v>801</v>
      </c>
      <c r="C9" s="81" t="s">
        <v>857</v>
      </c>
      <c r="D9" s="80" t="s">
        <v>801</v>
      </c>
      <c r="E9" s="81" t="s">
        <v>857</v>
      </c>
      <c r="F9" s="80" t="s">
        <v>801</v>
      </c>
      <c r="G9" s="81" t="s">
        <v>857</v>
      </c>
    </row>
    <row r="10" spans="1:7" ht="183.75" customHeight="1">
      <c r="A10" s="86" t="s">
        <v>802</v>
      </c>
      <c r="B10" s="87" t="s">
        <v>858</v>
      </c>
      <c r="C10" s="87" t="s">
        <v>859</v>
      </c>
      <c r="D10" s="87" t="s">
        <v>858</v>
      </c>
      <c r="E10" s="87" t="s">
        <v>859</v>
      </c>
      <c r="F10" s="87" t="s">
        <v>858</v>
      </c>
      <c r="G10" s="87" t="s">
        <v>859</v>
      </c>
    </row>
    <row r="11" spans="1:7" ht="32.25" customHeight="1">
      <c r="A11" s="79" t="s">
        <v>803</v>
      </c>
      <c r="B11" s="80" t="s">
        <v>860</v>
      </c>
      <c r="C11" s="88" t="s">
        <v>861</v>
      </c>
      <c r="D11" s="80" t="s">
        <v>862</v>
      </c>
      <c r="E11" s="88" t="s">
        <v>863</v>
      </c>
      <c r="F11" s="80" t="s">
        <v>864</v>
      </c>
      <c r="G11" s="88" t="s">
        <v>865</v>
      </c>
    </row>
    <row r="12" spans="1:7" ht="30.75" customHeight="1">
      <c r="A12" s="89" t="s">
        <v>804</v>
      </c>
      <c r="B12" s="90" t="s">
        <v>866</v>
      </c>
      <c r="C12" s="90" t="s">
        <v>866</v>
      </c>
      <c r="D12" s="90" t="s">
        <v>866</v>
      </c>
      <c r="E12" s="90" t="s">
        <v>866</v>
      </c>
      <c r="F12" s="90" t="s">
        <v>866</v>
      </c>
      <c r="G12" s="90" t="s">
        <v>866</v>
      </c>
    </row>
    <row r="13" spans="1:7" ht="17.25" customHeight="1">
      <c r="A13" s="79" t="s">
        <v>805</v>
      </c>
      <c r="B13" s="91">
        <v>23.5</v>
      </c>
      <c r="C13" s="91">
        <v>23.5</v>
      </c>
      <c r="D13" s="91">
        <v>23.5</v>
      </c>
      <c r="E13" s="91">
        <v>23.5</v>
      </c>
      <c r="F13" s="91">
        <v>23.5</v>
      </c>
      <c r="G13" s="91">
        <v>23.5</v>
      </c>
    </row>
    <row r="14" spans="1:7">
      <c r="A14" s="79" t="s">
        <v>806</v>
      </c>
      <c r="B14" s="92">
        <f>(68*1.23+2)*114*0.0254*0.0254*0.2*1.05</f>
        <v>1.32</v>
      </c>
      <c r="C14" s="92">
        <f>(26*1.23+1)/4*0.0254*114*0.0254*0.2*1.05</f>
        <v>0.13</v>
      </c>
      <c r="D14" s="92">
        <f>(90*1.23+2)*114*0.0254*0.0254*0.2*1.05</f>
        <v>1.74</v>
      </c>
      <c r="E14" s="92">
        <f>(26*1.23+1)/4*0.0254*114*0.0254*0.2*1.05*2</f>
        <v>0.25</v>
      </c>
      <c r="F14" s="92">
        <f>(104*1.23+2)*114*0.0254*0.0254*0.2*1.05</f>
        <v>2.0099999999999998</v>
      </c>
      <c r="G14" s="92">
        <f>(36*1.23+1)/4*0.0254*114*0.0254*0.2*1.05*2</f>
        <v>0.35</v>
      </c>
    </row>
    <row r="15" spans="1:7">
      <c r="A15" s="79" t="s">
        <v>807</v>
      </c>
      <c r="B15" s="93">
        <f t="shared" ref="B15:G15" si="0">B14*B13</f>
        <v>31.02</v>
      </c>
      <c r="C15" s="93">
        <f t="shared" si="0"/>
        <v>3.06</v>
      </c>
      <c r="D15" s="93">
        <f t="shared" si="0"/>
        <v>40.89</v>
      </c>
      <c r="E15" s="93">
        <f t="shared" si="0"/>
        <v>5.88</v>
      </c>
      <c r="F15" s="93">
        <f t="shared" si="0"/>
        <v>47.24</v>
      </c>
      <c r="G15" s="93">
        <f t="shared" si="0"/>
        <v>8.23</v>
      </c>
    </row>
    <row r="16" spans="1:7" ht="25.5" customHeight="1">
      <c r="A16" s="89" t="s">
        <v>808</v>
      </c>
      <c r="B16" s="90" t="s">
        <v>867</v>
      </c>
      <c r="C16" s="90" t="s">
        <v>867</v>
      </c>
      <c r="D16" s="90" t="s">
        <v>867</v>
      </c>
      <c r="E16" s="90" t="s">
        <v>867</v>
      </c>
      <c r="F16" s="90" t="s">
        <v>867</v>
      </c>
      <c r="G16" s="90" t="s">
        <v>867</v>
      </c>
    </row>
    <row r="17" spans="1:7" ht="20.100000000000001" customHeight="1">
      <c r="A17" s="79" t="s">
        <v>805</v>
      </c>
      <c r="B17" s="94">
        <v>4.2</v>
      </c>
      <c r="C17" s="94">
        <v>4.2</v>
      </c>
      <c r="D17" s="94">
        <v>4.2</v>
      </c>
      <c r="E17" s="94">
        <v>4.2</v>
      </c>
      <c r="F17" s="94">
        <v>4.2</v>
      </c>
      <c r="G17" s="94">
        <v>4.2</v>
      </c>
    </row>
    <row r="18" spans="1:7" ht="20.100000000000001" customHeight="1">
      <c r="A18" s="79" t="s">
        <v>806</v>
      </c>
      <c r="B18" s="95">
        <f>(68+2)*0.0254*1.03</f>
        <v>1.83</v>
      </c>
      <c r="C18" s="95">
        <f>(21*19.25+21*14.25)/91.5*0.0254*1.03</f>
        <v>0.2</v>
      </c>
      <c r="D18" s="95">
        <f>(90+2)*0.0254*1.03</f>
        <v>2.41</v>
      </c>
      <c r="E18" s="95">
        <f>(21*19.25+21*14.25)/91.5*0.0254*1.03*2</f>
        <v>0.4</v>
      </c>
      <c r="F18" s="95">
        <f>(104+2)*0.0254*1.03</f>
        <v>2.77</v>
      </c>
      <c r="G18" s="95">
        <f>(21*24.25/92+21*19.25/91.5)*0.0254*1.03*2</f>
        <v>0.52</v>
      </c>
    </row>
    <row r="19" spans="1:7" ht="18" customHeight="1">
      <c r="A19" s="79" t="s">
        <v>807</v>
      </c>
      <c r="B19" s="96">
        <f>B18*B17</f>
        <v>7.69</v>
      </c>
      <c r="C19" s="97">
        <f t="shared" ref="C19:E19" si="1">C17*C18</f>
        <v>0.84</v>
      </c>
      <c r="D19" s="96">
        <f>D18*D17</f>
        <v>10.119999999999999</v>
      </c>
      <c r="E19" s="97">
        <f t="shared" si="1"/>
        <v>1.68</v>
      </c>
      <c r="F19" s="96">
        <f>F18*F17</f>
        <v>11.63</v>
      </c>
      <c r="G19" s="97">
        <f t="shared" ref="G19" si="2">G17*G18</f>
        <v>2.1800000000000002</v>
      </c>
    </row>
    <row r="20" spans="1:7" ht="26.25" customHeight="1">
      <c r="A20" s="89" t="s">
        <v>809</v>
      </c>
      <c r="B20" s="90" t="s">
        <v>868</v>
      </c>
      <c r="C20" s="90" t="s">
        <v>869</v>
      </c>
      <c r="D20" s="90" t="s">
        <v>868</v>
      </c>
      <c r="E20" s="90" t="s">
        <v>869</v>
      </c>
      <c r="F20" s="90" t="s">
        <v>868</v>
      </c>
      <c r="G20" s="90" t="s">
        <v>869</v>
      </c>
    </row>
    <row r="21" spans="1:7" ht="20.100000000000001" customHeight="1">
      <c r="A21" s="79" t="s">
        <v>805</v>
      </c>
      <c r="B21" s="91">
        <v>25.5</v>
      </c>
      <c r="C21" s="91">
        <v>25.5</v>
      </c>
      <c r="D21" s="91">
        <v>25.5</v>
      </c>
      <c r="E21" s="91">
        <v>25.5</v>
      </c>
      <c r="F21" s="91">
        <v>25.5</v>
      </c>
      <c r="G21" s="91">
        <v>25.5</v>
      </c>
    </row>
    <row r="22" spans="1:7" ht="20.100000000000001" customHeight="1">
      <c r="A22" s="79" t="s">
        <v>806</v>
      </c>
      <c r="B22" s="98">
        <f>(68+1)*92*0.0254*0.0254*0.16*1.05</f>
        <v>0.69</v>
      </c>
      <c r="C22" s="98">
        <f>(26+1)/4*0.0254*88*0.0254*0.16*1.05</f>
        <v>0.06</v>
      </c>
      <c r="D22" s="98">
        <f>(90+1)*92*0.0254*0.0254*0.16*1.05</f>
        <v>0.91</v>
      </c>
      <c r="E22" s="98">
        <f>(26+1)/4*0.0254*88*0.0254*0.16*1.05*2</f>
        <v>0.13</v>
      </c>
      <c r="F22" s="98">
        <f>(104+1)*92*0.0254*0.0254*0.16*1.05</f>
        <v>1.05</v>
      </c>
      <c r="G22" s="98">
        <f>(36+1)/4*0.0254*88*0.0254*0.16*1.05*2</f>
        <v>0.18</v>
      </c>
    </row>
    <row r="23" spans="1:7">
      <c r="A23" s="79" t="s">
        <v>807</v>
      </c>
      <c r="B23" s="99">
        <f t="shared" ref="B23:G23" si="3">B21*B22</f>
        <v>17.600000000000001</v>
      </c>
      <c r="C23" s="99">
        <f t="shared" si="3"/>
        <v>1.53</v>
      </c>
      <c r="D23" s="99">
        <f t="shared" si="3"/>
        <v>23.21</v>
      </c>
      <c r="E23" s="99">
        <f t="shared" si="3"/>
        <v>3.32</v>
      </c>
      <c r="F23" s="99">
        <f t="shared" si="3"/>
        <v>26.78</v>
      </c>
      <c r="G23" s="99">
        <f t="shared" si="3"/>
        <v>4.59</v>
      </c>
    </row>
    <row r="24" spans="1:7" ht="42.75">
      <c r="A24" s="89" t="s">
        <v>870</v>
      </c>
      <c r="B24" s="100"/>
      <c r="C24" s="100" t="s">
        <v>871</v>
      </c>
      <c r="D24" s="100"/>
      <c r="E24" s="100" t="s">
        <v>871</v>
      </c>
      <c r="F24" s="100"/>
      <c r="G24" s="100" t="s">
        <v>871</v>
      </c>
    </row>
    <row r="25" spans="1:7">
      <c r="A25" s="79" t="s">
        <v>805</v>
      </c>
      <c r="B25" s="101"/>
      <c r="C25" s="101">
        <v>2.5</v>
      </c>
      <c r="D25" s="101"/>
      <c r="E25" s="101">
        <v>2.5</v>
      </c>
      <c r="F25" s="101"/>
      <c r="G25" s="101">
        <v>2.5</v>
      </c>
    </row>
    <row r="26" spans="1:7">
      <c r="A26" s="79" t="s">
        <v>806</v>
      </c>
      <c r="B26" s="102"/>
      <c r="C26" s="103">
        <f>27/3*0.0254*1.03</f>
        <v>0.24</v>
      </c>
      <c r="D26" s="103"/>
      <c r="E26" s="103">
        <f>27/3*0.0254*1.03*2</f>
        <v>0.47</v>
      </c>
      <c r="F26" s="103"/>
      <c r="G26" s="103">
        <f>37/3*0.0254*1.03*2</f>
        <v>0.65</v>
      </c>
    </row>
    <row r="27" spans="1:7">
      <c r="A27" s="79" t="s">
        <v>807</v>
      </c>
      <c r="B27" s="104">
        <f t="shared" ref="B27:G27" si="4">B26*B25</f>
        <v>0</v>
      </c>
      <c r="C27" s="105">
        <f t="shared" si="4"/>
        <v>0.6</v>
      </c>
      <c r="D27" s="105">
        <f t="shared" si="4"/>
        <v>0</v>
      </c>
      <c r="E27" s="105">
        <f t="shared" si="4"/>
        <v>1.18</v>
      </c>
      <c r="F27" s="105">
        <f t="shared" si="4"/>
        <v>0</v>
      </c>
      <c r="G27" s="105">
        <f t="shared" si="4"/>
        <v>1.63</v>
      </c>
    </row>
    <row r="28" spans="1:7">
      <c r="A28" s="89" t="s">
        <v>872</v>
      </c>
      <c r="B28" s="100" t="s">
        <v>873</v>
      </c>
      <c r="C28" s="100" t="s">
        <v>873</v>
      </c>
      <c r="D28" s="100" t="s">
        <v>873</v>
      </c>
      <c r="E28" s="100" t="s">
        <v>873</v>
      </c>
      <c r="F28" s="100" t="s">
        <v>873</v>
      </c>
      <c r="G28" s="100" t="s">
        <v>873</v>
      </c>
    </row>
    <row r="29" spans="1:7">
      <c r="A29" s="79" t="s">
        <v>805</v>
      </c>
      <c r="B29" s="101">
        <v>14</v>
      </c>
      <c r="C29" s="101">
        <v>14</v>
      </c>
      <c r="D29" s="101">
        <v>14</v>
      </c>
      <c r="E29" s="101">
        <v>14</v>
      </c>
      <c r="F29" s="101">
        <v>14</v>
      </c>
      <c r="G29" s="101">
        <v>14</v>
      </c>
    </row>
    <row r="30" spans="1:7">
      <c r="A30" s="79" t="s">
        <v>806</v>
      </c>
      <c r="B30" s="103">
        <f>((68*1.23+2)*114*0.0254*0.0254+(68+2)*(90+2)*0.0254*0.0254)*(6*0.02835/0.9144/0.9144)*1.03</f>
        <v>2.19</v>
      </c>
      <c r="C30" s="103">
        <f>(26*1.23+1)*104/4*0.0254*0.0254*(6*0.02835/0.9144/0.9144)*1.03</f>
        <v>0.12</v>
      </c>
      <c r="D30" s="103">
        <f>((90*1.23+2)*114*0.0254*0.0254+(90+2)*(90+2)*0.0254*0.0254)*(6*0.02835/0.9144/0.9144)*1.03</f>
        <v>2.88</v>
      </c>
      <c r="E30" s="103">
        <f>(26*1.23+1)*104/4*0.0254*0.0254*(6*0.02835/0.9144/0.9144)*1.03*2</f>
        <v>0.23</v>
      </c>
      <c r="F30" s="103">
        <f>((104*1.23+2)*114*0.0254*0.0254+(104+2)*(90+2)*0.0254*0.0254)*(6*0.02835/0.9144/0.9144)*1.03</f>
        <v>3.32</v>
      </c>
      <c r="G30" s="103">
        <f>(36*1.23+1)*104/4*0.0254*0.0254*(6*0.02835/0.9144/0.9144)*1.03*2</f>
        <v>0.32</v>
      </c>
    </row>
    <row r="31" spans="1:7">
      <c r="A31" s="79" t="s">
        <v>807</v>
      </c>
      <c r="B31" s="105">
        <f t="shared" ref="B31:G31" si="5">B30*B29</f>
        <v>30.66</v>
      </c>
      <c r="C31" s="105">
        <f t="shared" si="5"/>
        <v>1.68</v>
      </c>
      <c r="D31" s="105">
        <f t="shared" si="5"/>
        <v>40.32</v>
      </c>
      <c r="E31" s="105">
        <f t="shared" si="5"/>
        <v>3.22</v>
      </c>
      <c r="F31" s="105">
        <f t="shared" si="5"/>
        <v>46.48</v>
      </c>
      <c r="G31" s="105">
        <f t="shared" si="5"/>
        <v>4.4800000000000004</v>
      </c>
    </row>
    <row r="32" spans="1:7">
      <c r="A32" s="106" t="s">
        <v>810</v>
      </c>
      <c r="B32" s="107">
        <f>B15+B19+B23+B27+B31</f>
        <v>86.97</v>
      </c>
      <c r="C32" s="107">
        <f t="shared" ref="C32:G32" si="6">C15+C19+C23+C27+C31</f>
        <v>7.71</v>
      </c>
      <c r="D32" s="107">
        <f t="shared" si="6"/>
        <v>114.54</v>
      </c>
      <c r="E32" s="107">
        <f t="shared" si="6"/>
        <v>15.28</v>
      </c>
      <c r="F32" s="107">
        <f t="shared" si="6"/>
        <v>132.13</v>
      </c>
      <c r="G32" s="107">
        <f t="shared" si="6"/>
        <v>21.11</v>
      </c>
    </row>
    <row r="33" spans="1:7" ht="28.5">
      <c r="A33" s="89" t="s">
        <v>811</v>
      </c>
      <c r="B33" s="108" t="s">
        <v>874</v>
      </c>
      <c r="C33" s="108" t="s">
        <v>875</v>
      </c>
      <c r="D33" s="108" t="s">
        <v>874</v>
      </c>
      <c r="E33" s="108" t="s">
        <v>875</v>
      </c>
      <c r="F33" s="108" t="s">
        <v>874</v>
      </c>
      <c r="G33" s="108" t="s">
        <v>875</v>
      </c>
    </row>
    <row r="34" spans="1:7">
      <c r="A34" s="79" t="s">
        <v>805</v>
      </c>
      <c r="B34" s="94">
        <f>0.053+0.043</f>
        <v>0.1</v>
      </c>
      <c r="C34" s="94">
        <f>0.043</f>
        <v>0.04</v>
      </c>
      <c r="D34" s="94">
        <f>0.053+0.043</f>
        <v>0.1</v>
      </c>
      <c r="E34" s="94">
        <f>0.043</f>
        <v>0.04</v>
      </c>
      <c r="F34" s="94">
        <f>0.053+0.043</f>
        <v>0.1</v>
      </c>
      <c r="G34" s="94">
        <f>0.043</f>
        <v>0.04</v>
      </c>
    </row>
    <row r="35" spans="1:7">
      <c r="A35" s="79" t="s">
        <v>806</v>
      </c>
      <c r="B35" s="96">
        <v>1</v>
      </c>
      <c r="C35" s="96">
        <v>1</v>
      </c>
      <c r="D35" s="96">
        <v>1</v>
      </c>
      <c r="E35" s="96">
        <v>2</v>
      </c>
      <c r="F35" s="96">
        <v>1</v>
      </c>
      <c r="G35" s="96">
        <v>2</v>
      </c>
    </row>
    <row r="36" spans="1:7">
      <c r="A36" s="79" t="s">
        <v>807</v>
      </c>
      <c r="B36" s="109">
        <f>B34*B35</f>
        <v>0.1</v>
      </c>
      <c r="C36" s="110">
        <f t="shared" ref="C36:E36" si="7">C34*C35</f>
        <v>0.04</v>
      </c>
      <c r="D36" s="109">
        <f>D34*D35</f>
        <v>0.1</v>
      </c>
      <c r="E36" s="110">
        <f t="shared" si="7"/>
        <v>0.08</v>
      </c>
      <c r="F36" s="109">
        <f>F34*F35</f>
        <v>0.1</v>
      </c>
      <c r="G36" s="110">
        <f t="shared" ref="G36" si="8">G34*G35</f>
        <v>0.08</v>
      </c>
    </row>
    <row r="37" spans="1:7" ht="35.25" customHeight="1">
      <c r="A37" s="89" t="s">
        <v>812</v>
      </c>
      <c r="B37" s="111" t="s">
        <v>813</v>
      </c>
      <c r="C37" s="108"/>
      <c r="D37" s="111" t="s">
        <v>813</v>
      </c>
      <c r="E37" s="108"/>
      <c r="F37" s="111" t="s">
        <v>813</v>
      </c>
      <c r="G37" s="108"/>
    </row>
    <row r="38" spans="1:7" ht="19.5" customHeight="1">
      <c r="A38" s="79" t="s">
        <v>805</v>
      </c>
      <c r="B38" s="112">
        <v>0.02</v>
      </c>
      <c r="C38" s="113"/>
      <c r="D38" s="112">
        <v>0.02</v>
      </c>
      <c r="E38" s="113"/>
      <c r="F38" s="112">
        <v>0.02</v>
      </c>
      <c r="G38" s="113"/>
    </row>
    <row r="39" spans="1:7">
      <c r="A39" s="79" t="s">
        <v>806</v>
      </c>
      <c r="B39" s="112">
        <v>2</v>
      </c>
      <c r="C39" s="114"/>
      <c r="D39" s="112">
        <v>2</v>
      </c>
      <c r="E39" s="114"/>
      <c r="F39" s="112">
        <v>2</v>
      </c>
      <c r="G39" s="114"/>
    </row>
    <row r="40" spans="1:7">
      <c r="A40" s="79" t="s">
        <v>807</v>
      </c>
      <c r="B40" s="115">
        <f>B38*B39</f>
        <v>0.04</v>
      </c>
      <c r="C40" s="110"/>
      <c r="D40" s="115">
        <f>D38*D39</f>
        <v>0.04</v>
      </c>
      <c r="E40" s="110"/>
      <c r="F40" s="115">
        <f>F38*F39</f>
        <v>0.04</v>
      </c>
      <c r="G40" s="110"/>
    </row>
    <row r="41" spans="1:7" ht="28.5">
      <c r="A41" s="89" t="s">
        <v>814</v>
      </c>
      <c r="B41" s="90" t="s">
        <v>876</v>
      </c>
      <c r="C41" s="108"/>
      <c r="D41" s="90" t="s">
        <v>876</v>
      </c>
      <c r="E41" s="108"/>
      <c r="F41" s="90" t="s">
        <v>876</v>
      </c>
      <c r="G41" s="108"/>
    </row>
    <row r="42" spans="1:7">
      <c r="A42" s="79" t="s">
        <v>805</v>
      </c>
      <c r="B42" s="112">
        <v>7.45</v>
      </c>
      <c r="C42" s="116"/>
      <c r="D42" s="112">
        <v>7.57</v>
      </c>
      <c r="E42" s="116"/>
      <c r="F42" s="112">
        <v>7.68</v>
      </c>
      <c r="G42" s="116"/>
    </row>
    <row r="43" spans="1:7">
      <c r="A43" s="79" t="s">
        <v>806</v>
      </c>
      <c r="B43" s="117">
        <v>1</v>
      </c>
      <c r="C43" s="118"/>
      <c r="D43" s="117">
        <v>1</v>
      </c>
      <c r="E43" s="118"/>
      <c r="F43" s="117">
        <v>1</v>
      </c>
      <c r="G43" s="118"/>
    </row>
    <row r="44" spans="1:7">
      <c r="A44" s="79" t="s">
        <v>807</v>
      </c>
      <c r="B44" s="117">
        <f>B42*B43</f>
        <v>7.45</v>
      </c>
      <c r="C44" s="119">
        <f t="shared" ref="C44:E44" si="9">C42*C43</f>
        <v>0</v>
      </c>
      <c r="D44" s="117">
        <f>D42*D43</f>
        <v>7.57</v>
      </c>
      <c r="E44" s="119">
        <f t="shared" si="9"/>
        <v>0</v>
      </c>
      <c r="F44" s="117">
        <f>F42*F43</f>
        <v>7.68</v>
      </c>
      <c r="G44" s="119">
        <f t="shared" ref="G44" si="10">G42*G43</f>
        <v>0</v>
      </c>
    </row>
    <row r="45" spans="1:7" ht="28.5">
      <c r="A45" s="89" t="s">
        <v>815</v>
      </c>
      <c r="B45" s="90" t="s">
        <v>877</v>
      </c>
      <c r="C45" s="108"/>
      <c r="D45" s="90" t="s">
        <v>877</v>
      </c>
      <c r="E45" s="108"/>
      <c r="F45" s="90" t="s">
        <v>877</v>
      </c>
      <c r="G45" s="108"/>
    </row>
    <row r="46" spans="1:7">
      <c r="A46" s="79" t="s">
        <v>805</v>
      </c>
      <c r="B46" s="112">
        <v>2.5</v>
      </c>
      <c r="C46" s="116"/>
      <c r="D46" s="112">
        <v>2.5</v>
      </c>
      <c r="E46" s="116"/>
      <c r="F46" s="112">
        <v>2.5</v>
      </c>
      <c r="G46" s="116"/>
    </row>
    <row r="47" spans="1:7">
      <c r="A47" s="79" t="s">
        <v>806</v>
      </c>
      <c r="B47" s="120">
        <v>1</v>
      </c>
      <c r="C47" s="118"/>
      <c r="D47" s="120">
        <v>1</v>
      </c>
      <c r="E47" s="118"/>
      <c r="F47" s="120">
        <v>1</v>
      </c>
      <c r="G47" s="118"/>
    </row>
    <row r="48" spans="1:7">
      <c r="A48" s="79" t="s">
        <v>807</v>
      </c>
      <c r="B48" s="109">
        <f>B46*B47</f>
        <v>2.5</v>
      </c>
      <c r="C48" s="121">
        <f t="shared" ref="C48:E48" si="11">C46*C47</f>
        <v>0</v>
      </c>
      <c r="D48" s="109">
        <f>D46*D47</f>
        <v>2.5</v>
      </c>
      <c r="E48" s="121">
        <f t="shared" si="11"/>
        <v>0</v>
      </c>
      <c r="F48" s="109">
        <f>F46*F47</f>
        <v>2.5</v>
      </c>
      <c r="G48" s="121">
        <f t="shared" ref="G48" si="12">G46*G47</f>
        <v>0</v>
      </c>
    </row>
    <row r="49" spans="1:7" ht="28.5">
      <c r="A49" s="89" t="s">
        <v>816</v>
      </c>
      <c r="B49" s="90"/>
      <c r="C49" s="108"/>
      <c r="D49" s="90"/>
      <c r="E49" s="108"/>
      <c r="F49" s="90"/>
      <c r="G49" s="108"/>
    </row>
    <row r="50" spans="1:7">
      <c r="A50" s="79" t="s">
        <v>807</v>
      </c>
      <c r="B50" s="122"/>
      <c r="C50" s="118"/>
      <c r="D50" s="122"/>
      <c r="E50" s="118"/>
      <c r="F50" s="122"/>
      <c r="G50" s="118"/>
    </row>
    <row r="51" spans="1:7" ht="28.5">
      <c r="A51" s="89" t="s">
        <v>818</v>
      </c>
      <c r="B51" s="90"/>
      <c r="C51" s="90"/>
      <c r="D51" s="90"/>
      <c r="E51" s="90"/>
      <c r="F51" s="90"/>
      <c r="G51" s="90"/>
    </row>
    <row r="52" spans="1:7" ht="13.5" customHeight="1">
      <c r="A52" s="79" t="s">
        <v>807</v>
      </c>
      <c r="B52" s="122"/>
      <c r="C52" s="122"/>
      <c r="D52" s="122"/>
      <c r="E52" s="122"/>
      <c r="F52" s="122"/>
      <c r="G52" s="122"/>
    </row>
    <row r="53" spans="1:7" ht="28.5">
      <c r="A53" s="89" t="s">
        <v>819</v>
      </c>
      <c r="B53" s="90" t="s">
        <v>878</v>
      </c>
      <c r="C53" s="108"/>
      <c r="D53" s="90" t="s">
        <v>878</v>
      </c>
      <c r="E53" s="108"/>
      <c r="F53" s="90" t="s">
        <v>878</v>
      </c>
      <c r="G53" s="108"/>
    </row>
    <row r="54" spans="1:7">
      <c r="A54" s="79" t="s">
        <v>807</v>
      </c>
      <c r="B54" s="123">
        <f>191*10/1100</f>
        <v>1.74</v>
      </c>
      <c r="C54" s="118"/>
      <c r="D54" s="123">
        <f>191*10/1100</f>
        <v>1.74</v>
      </c>
      <c r="E54" s="118"/>
      <c r="F54" s="123">
        <f>191*10/1100</f>
        <v>1.74</v>
      </c>
      <c r="G54" s="118"/>
    </row>
    <row r="55" spans="1:7" ht="28.5">
      <c r="A55" s="89" t="s">
        <v>820</v>
      </c>
      <c r="B55" s="90" t="s">
        <v>879</v>
      </c>
      <c r="C55" s="108"/>
      <c r="D55" s="90" t="s">
        <v>879</v>
      </c>
      <c r="E55" s="108"/>
      <c r="F55" s="90" t="s">
        <v>879</v>
      </c>
      <c r="G55" s="108"/>
    </row>
    <row r="56" spans="1:7">
      <c r="A56" s="79" t="s">
        <v>807</v>
      </c>
      <c r="B56" s="122">
        <v>0.02</v>
      </c>
      <c r="C56" s="116"/>
      <c r="D56" s="122">
        <v>0.02</v>
      </c>
      <c r="E56" s="116"/>
      <c r="F56" s="122">
        <v>0.02</v>
      </c>
      <c r="G56" s="116"/>
    </row>
    <row r="57" spans="1:7" ht="28.5">
      <c r="A57" s="89" t="s">
        <v>821</v>
      </c>
      <c r="B57" s="90" t="s">
        <v>817</v>
      </c>
      <c r="C57" s="108" t="s">
        <v>817</v>
      </c>
      <c r="D57" s="90" t="s">
        <v>817</v>
      </c>
      <c r="E57" s="108" t="s">
        <v>817</v>
      </c>
      <c r="F57" s="90" t="s">
        <v>817</v>
      </c>
      <c r="G57" s="108" t="s">
        <v>817</v>
      </c>
    </row>
    <row r="58" spans="1:7">
      <c r="A58" s="79" t="s">
        <v>807</v>
      </c>
      <c r="B58" s="123">
        <v>0.2</v>
      </c>
      <c r="C58" s="118">
        <v>0.05</v>
      </c>
      <c r="D58" s="123">
        <v>0.2</v>
      </c>
      <c r="E58" s="118">
        <f>0.05*2</f>
        <v>0.1</v>
      </c>
      <c r="F58" s="123">
        <v>0.2</v>
      </c>
      <c r="G58" s="118">
        <f>0.05*2</f>
        <v>0.1</v>
      </c>
    </row>
    <row r="59" spans="1:7" ht="28.5">
      <c r="A59" s="89" t="s">
        <v>822</v>
      </c>
      <c r="B59" s="90" t="s">
        <v>880</v>
      </c>
      <c r="C59" s="108"/>
      <c r="D59" s="90" t="s">
        <v>880</v>
      </c>
      <c r="E59" s="108"/>
      <c r="F59" s="90" t="s">
        <v>880</v>
      </c>
      <c r="G59" s="108"/>
    </row>
    <row r="60" spans="1:7" ht="15.75" customHeight="1">
      <c r="A60" s="79" t="s">
        <v>807</v>
      </c>
      <c r="B60" s="122">
        <f>0.05*(B61+10+B62+10+B62+10)*0.01*2/B64*1.05+1.6*0.2*0.1*2/B64</f>
        <v>0.13</v>
      </c>
      <c r="C60" s="118"/>
      <c r="D60" s="122">
        <f>0.05*(D61+10+D62+10+D62+10)*0.01*2/D64*1.05+1.6*0.2*0.1*2/D64</f>
        <v>0.13</v>
      </c>
      <c r="E60" s="118"/>
      <c r="F60" s="122">
        <f>0.05*(F61+10+F62+10+F62+10)*0.01*2/F64*1.05+1.6*0.2*0.1*2/F64</f>
        <v>0.13</v>
      </c>
      <c r="G60" s="118"/>
    </row>
    <row r="61" spans="1:7">
      <c r="A61" s="124" t="s">
        <v>823</v>
      </c>
      <c r="B61" s="125">
        <v>58</v>
      </c>
      <c r="C61" s="126"/>
      <c r="D61" s="125">
        <v>58</v>
      </c>
      <c r="E61" s="126"/>
      <c r="F61" s="125">
        <v>58</v>
      </c>
      <c r="G61" s="126"/>
    </row>
    <row r="62" spans="1:7">
      <c r="A62" s="124" t="s">
        <v>824</v>
      </c>
      <c r="B62" s="125">
        <v>53</v>
      </c>
      <c r="C62" s="126"/>
      <c r="D62" s="125">
        <v>53</v>
      </c>
      <c r="E62" s="126"/>
      <c r="F62" s="125">
        <v>53</v>
      </c>
      <c r="G62" s="126"/>
    </row>
    <row r="63" spans="1:7">
      <c r="A63" s="124" t="s">
        <v>825</v>
      </c>
      <c r="B63" s="125">
        <v>51</v>
      </c>
      <c r="C63" s="126"/>
      <c r="D63" s="125">
        <v>56</v>
      </c>
      <c r="E63" s="126"/>
      <c r="F63" s="125">
        <v>61</v>
      </c>
      <c r="G63" s="126"/>
    </row>
    <row r="64" spans="1:7">
      <c r="A64" s="124" t="s">
        <v>826</v>
      </c>
      <c r="B64" s="127">
        <v>2</v>
      </c>
      <c r="C64" s="128"/>
      <c r="D64" s="127">
        <v>2</v>
      </c>
      <c r="E64" s="128"/>
      <c r="F64" s="127">
        <v>2</v>
      </c>
      <c r="G64" s="128"/>
    </row>
    <row r="65" spans="1:8">
      <c r="A65" s="124" t="s">
        <v>827</v>
      </c>
      <c r="B65" s="129">
        <v>7.5</v>
      </c>
      <c r="C65" s="126"/>
      <c r="D65" s="129">
        <v>7.5</v>
      </c>
      <c r="E65" s="126"/>
      <c r="F65" s="129">
        <v>7.5</v>
      </c>
      <c r="G65" s="126"/>
    </row>
    <row r="66" spans="1:8">
      <c r="A66" s="130" t="s">
        <v>807</v>
      </c>
      <c r="B66" s="131">
        <f>(B61+B62+8)*(B62+B63+4)*B65/B64/10^4</f>
        <v>4.82</v>
      </c>
      <c r="C66" s="132"/>
      <c r="D66" s="131">
        <f>(D61+D62+8)*(D62+D63+4)*D65/D64/10^4</f>
        <v>5.04</v>
      </c>
      <c r="E66" s="132"/>
      <c r="F66" s="131">
        <f>(F61+F62+8)*(F62+F63+4)*F65/F64/10^4</f>
        <v>5.27</v>
      </c>
      <c r="G66" s="132"/>
    </row>
    <row r="67" spans="1:8" ht="28.5">
      <c r="A67" s="133" t="s">
        <v>828</v>
      </c>
      <c r="B67" s="134">
        <f>B36+B40+B44+B48+B50+B52+B54+B56+B58+B60+B66</f>
        <v>17</v>
      </c>
      <c r="C67" s="134">
        <f t="shared" ref="C67:G67" si="13">C36+C40+C44+C48+C50+C52+C54+C56+C58+C60+C66</f>
        <v>0.09</v>
      </c>
      <c r="D67" s="134">
        <f t="shared" si="13"/>
        <v>17.34</v>
      </c>
      <c r="E67" s="134">
        <f t="shared" si="13"/>
        <v>0.18</v>
      </c>
      <c r="F67" s="134">
        <f t="shared" si="13"/>
        <v>17.68</v>
      </c>
      <c r="G67" s="134">
        <f t="shared" si="13"/>
        <v>0.18</v>
      </c>
    </row>
    <row r="68" spans="1:8" ht="28.5">
      <c r="A68" s="106" t="s">
        <v>829</v>
      </c>
      <c r="B68" s="134">
        <f>B32+B67</f>
        <v>103.97</v>
      </c>
      <c r="C68" s="134">
        <f t="shared" ref="C68:G68" si="14">C32+C67</f>
        <v>7.8</v>
      </c>
      <c r="D68" s="134">
        <f t="shared" si="14"/>
        <v>131.88</v>
      </c>
      <c r="E68" s="134">
        <f t="shared" si="14"/>
        <v>15.46</v>
      </c>
      <c r="F68" s="134">
        <f t="shared" si="14"/>
        <v>149.81</v>
      </c>
      <c r="G68" s="134">
        <f t="shared" si="14"/>
        <v>21.29</v>
      </c>
    </row>
    <row r="69" spans="1:8">
      <c r="A69" s="79" t="s">
        <v>830</v>
      </c>
      <c r="B69" s="121">
        <f>5.5+0.8+(70*13+88*10)*0.0254*0.15</f>
        <v>13.12</v>
      </c>
      <c r="C69" s="121">
        <v>2.2000000000000002</v>
      </c>
      <c r="D69" s="121">
        <f>6+0.8+(92*14+92*14)*0.0254*0.15</f>
        <v>16.61</v>
      </c>
      <c r="E69" s="121">
        <f>2.2*2</f>
        <v>4.4000000000000004</v>
      </c>
      <c r="F69" s="121">
        <f>6.5+0.8+(106*14+92*16)*0.0254*0.15</f>
        <v>18.559999999999999</v>
      </c>
      <c r="G69" s="121">
        <f>2.3*2</f>
        <v>4.5999999999999996</v>
      </c>
    </row>
    <row r="70" spans="1:8">
      <c r="A70" s="79" t="s">
        <v>831</v>
      </c>
      <c r="B70" s="122">
        <f>(3000+1265+355+40)/65*(B61*B62*B63)/B64/10^6+720*2/1100</f>
        <v>6.93</v>
      </c>
      <c r="C70" s="121"/>
      <c r="D70" s="122">
        <f>(3000+1265+355+40)/65*(D61*D62*D63)/D64/10^6+720*2/1100</f>
        <v>7.48</v>
      </c>
      <c r="E70" s="121"/>
      <c r="F70" s="122">
        <f>(3000+1265+355+40)/65*(F61*F62*F63)/F64/10^6+720*2/1100</f>
        <v>8.0299999999999994</v>
      </c>
      <c r="G70" s="121"/>
    </row>
    <row r="71" spans="1:8">
      <c r="A71" s="79" t="s">
        <v>832</v>
      </c>
      <c r="B71" s="131">
        <f>B69*0.13</f>
        <v>1.71</v>
      </c>
      <c r="C71" s="118">
        <f t="shared" ref="C71:E71" si="15">C69*0.13</f>
        <v>0.28999999999999998</v>
      </c>
      <c r="D71" s="131">
        <f>D69*0.13</f>
        <v>2.16</v>
      </c>
      <c r="E71" s="118">
        <f t="shared" si="15"/>
        <v>0.56999999999999995</v>
      </c>
      <c r="F71" s="131">
        <f>F69*0.13</f>
        <v>2.41</v>
      </c>
      <c r="G71" s="118">
        <f t="shared" ref="G71" si="16">G69*0.13</f>
        <v>0.6</v>
      </c>
    </row>
    <row r="72" spans="1:8">
      <c r="A72" s="79" t="s">
        <v>833</v>
      </c>
      <c r="B72" s="135">
        <v>7.9</v>
      </c>
      <c r="C72" s="135">
        <v>7.9</v>
      </c>
      <c r="D72" s="135">
        <v>7.9</v>
      </c>
      <c r="E72" s="135">
        <v>7.9</v>
      </c>
      <c r="F72" s="135">
        <v>7.9</v>
      </c>
      <c r="G72" s="135">
        <v>7.9</v>
      </c>
    </row>
    <row r="73" spans="1:8">
      <c r="A73" s="79" t="s">
        <v>834</v>
      </c>
      <c r="B73" s="136"/>
      <c r="C73" s="137"/>
      <c r="D73" s="136"/>
      <c r="E73" s="137"/>
      <c r="F73" s="136"/>
      <c r="G73" s="137"/>
    </row>
    <row r="74" spans="1:8">
      <c r="A74" s="133" t="s">
        <v>835</v>
      </c>
      <c r="B74" s="138">
        <f>B69+B70+B71</f>
        <v>21.76</v>
      </c>
      <c r="C74" s="139">
        <f t="shared" ref="C74:E74" si="17">C69+C70+C71</f>
        <v>2.4900000000000002</v>
      </c>
      <c r="D74" s="138">
        <f>D69+D70+D71</f>
        <v>26.25</v>
      </c>
      <c r="E74" s="139">
        <f t="shared" si="17"/>
        <v>4.97</v>
      </c>
      <c r="F74" s="138">
        <f>F69+F70+F71</f>
        <v>29</v>
      </c>
      <c r="G74" s="139">
        <f t="shared" ref="G74" si="18">G69+G70+G71</f>
        <v>5.2</v>
      </c>
    </row>
    <row r="75" spans="1:8" s="141" customFormat="1" ht="18" customHeight="1">
      <c r="A75" s="133" t="s">
        <v>836</v>
      </c>
      <c r="B75" s="140">
        <f>B68+B74</f>
        <v>125.73</v>
      </c>
      <c r="C75" s="139">
        <f t="shared" ref="C75:E75" si="19">C68+C74</f>
        <v>10.29</v>
      </c>
      <c r="D75" s="140">
        <f>D68+D74</f>
        <v>158.13</v>
      </c>
      <c r="E75" s="139">
        <f t="shared" si="19"/>
        <v>20.43</v>
      </c>
      <c r="F75" s="140">
        <f>F68+F74</f>
        <v>178.81</v>
      </c>
      <c r="G75" s="139">
        <f t="shared" ref="G75" si="20">G68+G74</f>
        <v>26.49</v>
      </c>
    </row>
    <row r="76" spans="1:8" s="144" customFormat="1" ht="18" customHeight="1">
      <c r="A76" s="79" t="s">
        <v>837</v>
      </c>
      <c r="B76" s="142">
        <f>B75/B72+B73</f>
        <v>15.92</v>
      </c>
      <c r="C76" s="143">
        <f t="shared" ref="C76:E76" si="21">C75/C72+C73</f>
        <v>1.3</v>
      </c>
      <c r="D76" s="142">
        <f>D75/D72+D73</f>
        <v>20.02</v>
      </c>
      <c r="E76" s="143">
        <f t="shared" si="21"/>
        <v>2.59</v>
      </c>
      <c r="F76" s="142">
        <f>F75/F72+F73</f>
        <v>22.63</v>
      </c>
      <c r="G76" s="143">
        <f t="shared" ref="G76" si="22">G75/G72+G73</f>
        <v>3.35</v>
      </c>
      <c r="H76" s="141"/>
    </row>
    <row r="77" spans="1:8" s="146" customFormat="1" ht="18" customHeight="1">
      <c r="A77" s="145">
        <v>1.07</v>
      </c>
      <c r="B77" s="140">
        <f t="shared" ref="B77:G77" si="23">B75*$A$77</f>
        <v>134.53</v>
      </c>
      <c r="C77" s="140">
        <f t="shared" si="23"/>
        <v>11.01</v>
      </c>
      <c r="D77" s="140">
        <f t="shared" si="23"/>
        <v>169.2</v>
      </c>
      <c r="E77" s="140">
        <f t="shared" si="23"/>
        <v>21.86</v>
      </c>
      <c r="F77" s="140">
        <f t="shared" si="23"/>
        <v>191.33</v>
      </c>
      <c r="G77" s="140">
        <f t="shared" si="23"/>
        <v>28.34</v>
      </c>
      <c r="H77" s="141"/>
    </row>
    <row r="78" spans="1:8" ht="15" customHeight="1">
      <c r="A78" s="147" t="s">
        <v>838</v>
      </c>
      <c r="B78" s="148">
        <f>B77/B72+B73</f>
        <v>17.03</v>
      </c>
      <c r="C78" s="148">
        <f t="shared" ref="C78:G78" si="24">C77/C72+C73</f>
        <v>1.39</v>
      </c>
      <c r="D78" s="148">
        <f t="shared" si="24"/>
        <v>21.42</v>
      </c>
      <c r="E78" s="148">
        <f t="shared" si="24"/>
        <v>2.77</v>
      </c>
      <c r="F78" s="148">
        <f t="shared" si="24"/>
        <v>24.22</v>
      </c>
      <c r="G78" s="148">
        <f t="shared" si="24"/>
        <v>3.59</v>
      </c>
      <c r="H78" s="141"/>
    </row>
    <row r="79" spans="1:8" ht="15" customHeight="1">
      <c r="A79" s="145" t="s">
        <v>881</v>
      </c>
      <c r="B79" s="154">
        <f>B77+C77</f>
        <v>145.54</v>
      </c>
      <c r="C79" s="155"/>
      <c r="D79" s="154">
        <f>D77+E77</f>
        <v>191.06</v>
      </c>
      <c r="E79" s="155"/>
      <c r="F79" s="154">
        <f>F77+G77</f>
        <v>219.67</v>
      </c>
      <c r="G79" s="155"/>
      <c r="H79" s="141"/>
    </row>
    <row r="80" spans="1:8" ht="15" customHeight="1">
      <c r="A80" s="147" t="s">
        <v>838</v>
      </c>
      <c r="B80" s="156">
        <f>B79/B72</f>
        <v>18.420000000000002</v>
      </c>
      <c r="C80" s="157"/>
      <c r="D80" s="156">
        <f>D79/D72</f>
        <v>24.18</v>
      </c>
      <c r="E80" s="157"/>
      <c r="F80" s="156">
        <f>F79/F72</f>
        <v>27.81</v>
      </c>
      <c r="G80" s="157"/>
      <c r="H80" s="141"/>
    </row>
    <row r="81" spans="1:8" ht="15" customHeight="1">
      <c r="H81" s="141"/>
    </row>
    <row r="82" spans="1:8" s="153" customFormat="1" ht="28.5">
      <c r="A82" s="151" t="s">
        <v>882</v>
      </c>
      <c r="B82" s="151">
        <v>142.1</v>
      </c>
      <c r="C82" s="152"/>
      <c r="D82" s="151">
        <v>189.5</v>
      </c>
      <c r="E82" s="152"/>
      <c r="F82" s="151">
        <v>215.3</v>
      </c>
      <c r="G82" s="152"/>
    </row>
    <row r="84" spans="1:8" ht="15" customHeight="1">
      <c r="C84" s="149"/>
      <c r="E84" s="149"/>
    </row>
    <row r="85" spans="1:8" ht="15" customHeight="1">
      <c r="C85" s="149"/>
      <c r="E85" s="149"/>
      <c r="G85" s="149"/>
    </row>
    <row r="86" spans="1:8" ht="15" customHeight="1"/>
    <row r="87" spans="1:8" ht="15" customHeight="1"/>
    <row r="88" spans="1:8" ht="15" customHeight="1"/>
    <row r="89" spans="1:8" ht="15" customHeight="1"/>
    <row r="90" spans="1:8" ht="15" customHeight="1"/>
    <row r="91" spans="1:8" ht="15" customHeight="1"/>
    <row r="92" spans="1:8" ht="15" customHeight="1"/>
    <row r="93" spans="1:8" ht="15" customHeight="1"/>
    <row r="94" spans="1:8" ht="15" customHeight="1"/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</sheetData>
  <mergeCells count="6">
    <mergeCell ref="B79:C79"/>
    <mergeCell ref="D79:E79"/>
    <mergeCell ref="F79:G79"/>
    <mergeCell ref="B80:C80"/>
    <mergeCell ref="D80:E80"/>
    <mergeCell ref="F80:G80"/>
  </mergeCells>
  <phoneticPr fontId="2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EC44-4A4D-4D74-8861-CE5F67747206}">
  <sheetPr>
    <tabColor rgb="FFFFFF00"/>
  </sheetPr>
  <dimension ref="A1:K296"/>
  <sheetViews>
    <sheetView workbookViewId="0">
      <selection activeCell="A3" sqref="A3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8" t="s">
        <v>220</v>
      </c>
      <c r="B1" s="9" t="s">
        <v>18</v>
      </c>
      <c r="C1" s="10" t="s">
        <v>27</v>
      </c>
      <c r="D1" s="9" t="s">
        <v>3</v>
      </c>
      <c r="E1" s="9" t="s">
        <v>20</v>
      </c>
      <c r="F1" s="9" t="s">
        <v>46</v>
      </c>
      <c r="G1" s="9" t="s">
        <v>785</v>
      </c>
      <c r="H1" s="9" t="s">
        <v>34</v>
      </c>
      <c r="I1" s="9" t="s">
        <v>673</v>
      </c>
      <c r="J1" s="9" t="s">
        <v>680</v>
      </c>
      <c r="K1" s="9" t="s">
        <v>35</v>
      </c>
    </row>
    <row r="2" spans="1:11">
      <c r="A2" s="6" t="s">
        <v>150</v>
      </c>
      <c r="B2" s="6" t="s">
        <v>55</v>
      </c>
      <c r="C2" s="6" t="s">
        <v>131</v>
      </c>
      <c r="F2" s="3" t="s">
        <v>265</v>
      </c>
      <c r="G2" s="3" t="s">
        <v>122</v>
      </c>
      <c r="K2" s="3" t="s">
        <v>632</v>
      </c>
    </row>
    <row r="3" spans="1:11">
      <c r="A3" s="6" t="s">
        <v>788</v>
      </c>
      <c r="B3" s="6" t="s">
        <v>786</v>
      </c>
      <c r="C3" s="6" t="s">
        <v>787</v>
      </c>
      <c r="D3" t="s">
        <v>306</v>
      </c>
      <c r="E3" t="s">
        <v>302</v>
      </c>
      <c r="F3" s="3" t="s">
        <v>266</v>
      </c>
      <c r="G3" s="3" t="s">
        <v>121</v>
      </c>
      <c r="H3" s="3" t="s">
        <v>561</v>
      </c>
      <c r="I3" t="s">
        <v>674</v>
      </c>
      <c r="J3" t="s">
        <v>681</v>
      </c>
      <c r="K3" s="3" t="s">
        <v>570</v>
      </c>
    </row>
    <row r="4" spans="1:11">
      <c r="A4" s="6" t="s">
        <v>146</v>
      </c>
      <c r="B4" s="6" t="s">
        <v>56</v>
      </c>
      <c r="C4" s="6" t="s">
        <v>214</v>
      </c>
      <c r="D4" t="s">
        <v>303</v>
      </c>
      <c r="E4" t="s">
        <v>301</v>
      </c>
      <c r="F4" s="3" t="s">
        <v>267</v>
      </c>
      <c r="G4" s="3" t="s">
        <v>108</v>
      </c>
      <c r="H4" s="3" t="s">
        <v>562</v>
      </c>
      <c r="I4" s="3" t="s">
        <v>675</v>
      </c>
      <c r="J4" s="3" t="s">
        <v>682</v>
      </c>
      <c r="K4" s="3" t="s">
        <v>571</v>
      </c>
    </row>
    <row r="5" spans="1:11">
      <c r="A5" s="6" t="s">
        <v>57</v>
      </c>
      <c r="B5" s="6" t="s">
        <v>57</v>
      </c>
      <c r="C5" s="6" t="s">
        <v>214</v>
      </c>
      <c r="D5" s="3" t="s">
        <v>307</v>
      </c>
      <c r="E5" t="s">
        <v>702</v>
      </c>
      <c r="F5" s="3" t="s">
        <v>268</v>
      </c>
      <c r="G5" s="3" t="s">
        <v>123</v>
      </c>
      <c r="H5" s="3" t="s">
        <v>563</v>
      </c>
      <c r="I5" s="3" t="s">
        <v>676</v>
      </c>
      <c r="J5" s="3" t="s">
        <v>683</v>
      </c>
      <c r="K5" s="3" t="s">
        <v>572</v>
      </c>
    </row>
    <row r="6" spans="1:11">
      <c r="A6" s="6" t="s">
        <v>153</v>
      </c>
      <c r="B6" s="6" t="s">
        <v>60</v>
      </c>
      <c r="C6" s="6" t="s">
        <v>60</v>
      </c>
      <c r="D6" s="3" t="s">
        <v>308</v>
      </c>
      <c r="E6" t="s">
        <v>775</v>
      </c>
      <c r="F6" s="3" t="s">
        <v>269</v>
      </c>
      <c r="G6" s="3" t="s">
        <v>109</v>
      </c>
      <c r="H6" s="3" t="s">
        <v>564</v>
      </c>
      <c r="I6" s="3" t="s">
        <v>677</v>
      </c>
      <c r="J6" s="3" t="s">
        <v>684</v>
      </c>
      <c r="K6" t="s">
        <v>573</v>
      </c>
    </row>
    <row r="7" spans="1:11">
      <c r="A7" s="6" t="s">
        <v>151</v>
      </c>
      <c r="B7" s="6" t="s">
        <v>58</v>
      </c>
      <c r="C7" s="6" t="s">
        <v>132</v>
      </c>
      <c r="D7" t="s">
        <v>309</v>
      </c>
      <c r="E7" t="s">
        <v>300</v>
      </c>
      <c r="F7" s="3" t="s">
        <v>270</v>
      </c>
      <c r="G7" s="3" t="s">
        <v>110</v>
      </c>
      <c r="H7" t="s">
        <v>565</v>
      </c>
      <c r="I7" s="3" t="s">
        <v>678</v>
      </c>
      <c r="J7" s="3" t="s">
        <v>685</v>
      </c>
      <c r="K7" t="s">
        <v>574</v>
      </c>
    </row>
    <row r="8" spans="1:11">
      <c r="A8" s="6" t="s">
        <v>152</v>
      </c>
      <c r="B8" s="6" t="s">
        <v>59</v>
      </c>
      <c r="C8" s="6" t="s">
        <v>133</v>
      </c>
      <c r="D8" t="s">
        <v>489</v>
      </c>
      <c r="E8" t="s">
        <v>299</v>
      </c>
      <c r="F8" s="3" t="s">
        <v>271</v>
      </c>
      <c r="G8" s="3" t="s">
        <v>228</v>
      </c>
      <c r="H8" t="s">
        <v>566</v>
      </c>
      <c r="I8" t="s">
        <v>679</v>
      </c>
      <c r="J8" t="s">
        <v>686</v>
      </c>
      <c r="K8" t="s">
        <v>575</v>
      </c>
    </row>
    <row r="9" spans="1:11">
      <c r="A9" s="6" t="s">
        <v>155</v>
      </c>
      <c r="B9" s="6" t="s">
        <v>62</v>
      </c>
      <c r="C9" s="6" t="s">
        <v>135</v>
      </c>
      <c r="D9" t="s">
        <v>310</v>
      </c>
      <c r="E9" t="s">
        <v>298</v>
      </c>
      <c r="F9" s="3" t="s">
        <v>272</v>
      </c>
      <c r="G9" s="3" t="s">
        <v>111</v>
      </c>
      <c r="H9" t="s">
        <v>567</v>
      </c>
      <c r="J9" t="s">
        <v>687</v>
      </c>
      <c r="K9" t="s">
        <v>576</v>
      </c>
    </row>
    <row r="10" spans="1:11">
      <c r="A10" s="6" t="s">
        <v>229</v>
      </c>
      <c r="B10" s="6" t="s">
        <v>230</v>
      </c>
      <c r="C10" s="6" t="s">
        <v>136</v>
      </c>
      <c r="D10" t="s">
        <v>490</v>
      </c>
      <c r="E10" t="s">
        <v>297</v>
      </c>
      <c r="F10" s="3" t="s">
        <v>273</v>
      </c>
      <c r="G10" s="3" t="s">
        <v>231</v>
      </c>
      <c r="H10" t="s">
        <v>568</v>
      </c>
      <c r="J10" t="s">
        <v>39</v>
      </c>
      <c r="K10" t="s">
        <v>577</v>
      </c>
    </row>
    <row r="11" spans="1:11">
      <c r="A11" s="6" t="s">
        <v>156</v>
      </c>
      <c r="B11" s="6" t="s">
        <v>63</v>
      </c>
      <c r="C11" s="6" t="s">
        <v>136</v>
      </c>
      <c r="D11" t="s">
        <v>311</v>
      </c>
      <c r="E11" t="s">
        <v>296</v>
      </c>
      <c r="F11" s="3" t="s">
        <v>274</v>
      </c>
      <c r="G11" s="3" t="s">
        <v>232</v>
      </c>
      <c r="H11" t="s">
        <v>569</v>
      </c>
      <c r="J11" t="s">
        <v>688</v>
      </c>
      <c r="K11" t="s">
        <v>578</v>
      </c>
    </row>
    <row r="12" spans="1:11">
      <c r="A12" s="6" t="s">
        <v>157</v>
      </c>
      <c r="B12" s="6" t="s">
        <v>64</v>
      </c>
      <c r="C12" s="6" t="s">
        <v>136</v>
      </c>
      <c r="D12" t="s">
        <v>312</v>
      </c>
      <c r="E12" t="s">
        <v>295</v>
      </c>
      <c r="F12" s="3" t="s">
        <v>275</v>
      </c>
      <c r="G12" s="3" t="s">
        <v>233</v>
      </c>
      <c r="H12" t="s">
        <v>560</v>
      </c>
      <c r="K12" t="s">
        <v>579</v>
      </c>
    </row>
    <row r="13" spans="1:11">
      <c r="A13" s="6" t="s">
        <v>158</v>
      </c>
      <c r="B13" s="6" t="s">
        <v>65</v>
      </c>
      <c r="C13" s="6" t="s">
        <v>136</v>
      </c>
      <c r="D13" t="s">
        <v>491</v>
      </c>
      <c r="E13" t="s">
        <v>696</v>
      </c>
      <c r="F13" s="3" t="s">
        <v>276</v>
      </c>
      <c r="G13" s="3" t="s">
        <v>112</v>
      </c>
      <c r="K13" t="s">
        <v>580</v>
      </c>
    </row>
    <row r="14" spans="1:11">
      <c r="A14" s="6" t="s">
        <v>159</v>
      </c>
      <c r="B14" s="6" t="s">
        <v>66</v>
      </c>
      <c r="C14" s="6" t="s">
        <v>66</v>
      </c>
      <c r="D14" t="s">
        <v>304</v>
      </c>
      <c r="E14" t="s">
        <v>694</v>
      </c>
      <c r="F14" s="3" t="s">
        <v>277</v>
      </c>
      <c r="G14" s="3" t="s">
        <v>113</v>
      </c>
      <c r="K14" t="s">
        <v>581</v>
      </c>
    </row>
    <row r="15" spans="1:11">
      <c r="A15" s="6" t="s">
        <v>160</v>
      </c>
      <c r="B15" s="6" t="s">
        <v>67</v>
      </c>
      <c r="C15" s="6" t="s">
        <v>137</v>
      </c>
      <c r="D15" t="s">
        <v>492</v>
      </c>
      <c r="E15" t="s">
        <v>695</v>
      </c>
      <c r="F15" s="3" t="s">
        <v>278</v>
      </c>
      <c r="G15" s="3" t="s">
        <v>234</v>
      </c>
      <c r="K15" t="s">
        <v>582</v>
      </c>
    </row>
    <row r="16" spans="1:11">
      <c r="A16" s="6" t="s">
        <v>161</v>
      </c>
      <c r="B16" s="6" t="s">
        <v>68</v>
      </c>
      <c r="C16" s="6" t="s">
        <v>138</v>
      </c>
      <c r="D16" t="s">
        <v>493</v>
      </c>
      <c r="E16" t="s">
        <v>294</v>
      </c>
      <c r="F16" s="3" t="s">
        <v>279</v>
      </c>
      <c r="G16" s="3" t="s">
        <v>237</v>
      </c>
      <c r="K16" t="s">
        <v>583</v>
      </c>
    </row>
    <row r="17" spans="1:11">
      <c r="A17" s="6" t="s">
        <v>235</v>
      </c>
      <c r="B17" s="6" t="s">
        <v>236</v>
      </c>
      <c r="C17" s="6" t="s">
        <v>138</v>
      </c>
      <c r="D17" t="s">
        <v>313</v>
      </c>
      <c r="E17" t="s">
        <v>693</v>
      </c>
      <c r="F17" s="3" t="s">
        <v>280</v>
      </c>
      <c r="G17" s="3" t="s">
        <v>241</v>
      </c>
      <c r="K17" t="s">
        <v>584</v>
      </c>
    </row>
    <row r="18" spans="1:11">
      <c r="A18" s="6" t="s">
        <v>238</v>
      </c>
      <c r="B18" s="6" t="s">
        <v>239</v>
      </c>
      <c r="C18" s="6" t="s">
        <v>240</v>
      </c>
      <c r="D18" t="s">
        <v>633</v>
      </c>
      <c r="E18" t="s">
        <v>293</v>
      </c>
      <c r="F18" s="3" t="s">
        <v>281</v>
      </c>
      <c r="G18" s="3" t="s">
        <v>114</v>
      </c>
      <c r="K18" t="s">
        <v>585</v>
      </c>
    </row>
    <row r="19" spans="1:11">
      <c r="A19" s="6" t="s">
        <v>162</v>
      </c>
      <c r="B19" s="6" t="s">
        <v>69</v>
      </c>
      <c r="C19" s="6" t="s">
        <v>139</v>
      </c>
      <c r="D19" t="s">
        <v>314</v>
      </c>
      <c r="E19" t="s">
        <v>291</v>
      </c>
      <c r="F19" s="3" t="s">
        <v>282</v>
      </c>
      <c r="G19" s="3" t="s">
        <v>115</v>
      </c>
      <c r="K19" t="s">
        <v>586</v>
      </c>
    </row>
    <row r="20" spans="1:11">
      <c r="A20" s="6" t="s">
        <v>189</v>
      </c>
      <c r="B20" s="6" t="s">
        <v>94</v>
      </c>
      <c r="C20" s="6" t="s">
        <v>139</v>
      </c>
      <c r="D20" t="s">
        <v>494</v>
      </c>
      <c r="E20" t="s">
        <v>692</v>
      </c>
      <c r="F20" s="3" t="s">
        <v>283</v>
      </c>
      <c r="G20" s="3" t="s">
        <v>116</v>
      </c>
      <c r="K20" t="s">
        <v>587</v>
      </c>
    </row>
    <row r="21" spans="1:11">
      <c r="A21" s="6" t="s">
        <v>242</v>
      </c>
      <c r="B21" s="6" t="s">
        <v>243</v>
      </c>
      <c r="C21" s="6" t="s">
        <v>244</v>
      </c>
      <c r="D21" t="s">
        <v>315</v>
      </c>
      <c r="E21" t="s">
        <v>697</v>
      </c>
      <c r="F21" s="3" t="s">
        <v>284</v>
      </c>
      <c r="G21" s="3" t="s">
        <v>124</v>
      </c>
      <c r="K21" t="s">
        <v>588</v>
      </c>
    </row>
    <row r="22" spans="1:11">
      <c r="A22" s="6" t="s">
        <v>163</v>
      </c>
      <c r="B22" s="6" t="s">
        <v>70</v>
      </c>
      <c r="C22" s="6" t="s">
        <v>140</v>
      </c>
      <c r="D22" t="s">
        <v>316</v>
      </c>
      <c r="E22" t="s">
        <v>698</v>
      </c>
      <c r="F22" s="3" t="s">
        <v>285</v>
      </c>
      <c r="G22" s="3" t="s">
        <v>117</v>
      </c>
      <c r="K22" t="s">
        <v>589</v>
      </c>
    </row>
    <row r="23" spans="1:11">
      <c r="A23" s="6" t="s">
        <v>164</v>
      </c>
      <c r="B23" s="6" t="s">
        <v>71</v>
      </c>
      <c r="C23" s="6" t="s">
        <v>140</v>
      </c>
      <c r="D23" t="s">
        <v>317</v>
      </c>
      <c r="E23" t="s">
        <v>699</v>
      </c>
      <c r="F23" s="3" t="s">
        <v>286</v>
      </c>
      <c r="G23" s="3" t="s">
        <v>118</v>
      </c>
      <c r="K23" t="s">
        <v>590</v>
      </c>
    </row>
    <row r="24" spans="1:11">
      <c r="A24" s="6" t="s">
        <v>165</v>
      </c>
      <c r="B24" s="6" t="s">
        <v>72</v>
      </c>
      <c r="C24" s="6" t="s">
        <v>141</v>
      </c>
      <c r="D24" t="s">
        <v>318</v>
      </c>
      <c r="E24" t="s">
        <v>700</v>
      </c>
      <c r="F24" s="3" t="s">
        <v>287</v>
      </c>
      <c r="G24" s="3" t="s">
        <v>247</v>
      </c>
      <c r="K24" t="s">
        <v>591</v>
      </c>
    </row>
    <row r="25" spans="1:11">
      <c r="A25" s="6" t="s">
        <v>245</v>
      </c>
      <c r="B25" s="6" t="s">
        <v>246</v>
      </c>
      <c r="C25" s="3" t="s">
        <v>245</v>
      </c>
      <c r="D25" s="3" t="s">
        <v>495</v>
      </c>
      <c r="E25" t="s">
        <v>701</v>
      </c>
      <c r="F25" s="3" t="s">
        <v>288</v>
      </c>
      <c r="G25" s="3" t="s">
        <v>120</v>
      </c>
      <c r="K25" t="s">
        <v>592</v>
      </c>
    </row>
    <row r="26" spans="1:11">
      <c r="A26" s="6" t="s">
        <v>166</v>
      </c>
      <c r="B26" s="6" t="s">
        <v>73</v>
      </c>
      <c r="C26" s="6" t="s">
        <v>142</v>
      </c>
      <c r="D26" t="s">
        <v>319</v>
      </c>
      <c r="E26" t="s">
        <v>292</v>
      </c>
      <c r="F26" s="3" t="s">
        <v>289</v>
      </c>
      <c r="G26" s="3" t="s">
        <v>119</v>
      </c>
      <c r="K26" t="s">
        <v>593</v>
      </c>
    </row>
    <row r="27" spans="1:11">
      <c r="A27" s="6" t="s">
        <v>248</v>
      </c>
      <c r="B27" s="6" t="s">
        <v>249</v>
      </c>
      <c r="C27" s="6" t="s">
        <v>142</v>
      </c>
      <c r="D27" t="s">
        <v>634</v>
      </c>
      <c r="F27" s="3" t="s">
        <v>290</v>
      </c>
      <c r="G27" s="3" t="s">
        <v>250</v>
      </c>
      <c r="K27" t="s">
        <v>594</v>
      </c>
    </row>
    <row r="28" spans="1:11">
      <c r="A28" s="6" t="s">
        <v>167</v>
      </c>
      <c r="B28" s="6" t="s">
        <v>74</v>
      </c>
      <c r="C28" s="6" t="s">
        <v>74</v>
      </c>
      <c r="D28" t="s">
        <v>320</v>
      </c>
      <c r="K28" t="s">
        <v>595</v>
      </c>
    </row>
    <row r="29" spans="1:11">
      <c r="A29" s="6" t="s">
        <v>251</v>
      </c>
      <c r="B29" s="6" t="s">
        <v>252</v>
      </c>
      <c r="C29" s="6" t="s">
        <v>251</v>
      </c>
      <c r="D29" t="s">
        <v>635</v>
      </c>
      <c r="K29" t="s">
        <v>596</v>
      </c>
    </row>
    <row r="30" spans="1:11">
      <c r="A30" s="6" t="s">
        <v>201</v>
      </c>
      <c r="B30" s="6" t="s">
        <v>200</v>
      </c>
      <c r="C30" s="6" t="s">
        <v>218</v>
      </c>
      <c r="D30" t="s">
        <v>321</v>
      </c>
      <c r="K30" t="s">
        <v>597</v>
      </c>
    </row>
    <row r="31" spans="1:11">
      <c r="A31" s="6" t="s">
        <v>203</v>
      </c>
      <c r="B31" s="6" t="s">
        <v>202</v>
      </c>
      <c r="C31" s="6" t="s">
        <v>218</v>
      </c>
      <c r="D31" t="s">
        <v>636</v>
      </c>
      <c r="K31" t="s">
        <v>598</v>
      </c>
    </row>
    <row r="32" spans="1:11">
      <c r="A32" s="6" t="s">
        <v>205</v>
      </c>
      <c r="B32" s="6" t="s">
        <v>204</v>
      </c>
      <c r="C32" s="6" t="s">
        <v>218</v>
      </c>
      <c r="D32" t="s">
        <v>305</v>
      </c>
      <c r="K32" t="s">
        <v>599</v>
      </c>
    </row>
    <row r="33" spans="1:11">
      <c r="A33" s="6" t="s">
        <v>207</v>
      </c>
      <c r="B33" s="6" t="s">
        <v>206</v>
      </c>
      <c r="C33" s="6" t="s">
        <v>218</v>
      </c>
      <c r="D33" t="s">
        <v>322</v>
      </c>
      <c r="K33" t="s">
        <v>600</v>
      </c>
    </row>
    <row r="34" spans="1:11">
      <c r="A34" s="6" t="s">
        <v>168</v>
      </c>
      <c r="B34" s="6" t="s">
        <v>75</v>
      </c>
      <c r="C34" s="6" t="s">
        <v>75</v>
      </c>
      <c r="D34" s="3" t="s">
        <v>637</v>
      </c>
      <c r="K34" t="s">
        <v>601</v>
      </c>
    </row>
    <row r="35" spans="1:11">
      <c r="A35" s="6" t="s">
        <v>170</v>
      </c>
      <c r="B35" s="6" t="s">
        <v>77</v>
      </c>
      <c r="C35" s="6" t="s">
        <v>76</v>
      </c>
      <c r="D35" t="s">
        <v>323</v>
      </c>
      <c r="K35" t="s">
        <v>602</v>
      </c>
    </row>
    <row r="36" spans="1:11">
      <c r="A36" s="6" t="s">
        <v>171</v>
      </c>
      <c r="B36" s="6" t="s">
        <v>78</v>
      </c>
      <c r="C36" s="6" t="s">
        <v>76</v>
      </c>
      <c r="D36" t="s">
        <v>496</v>
      </c>
      <c r="K36" t="s">
        <v>603</v>
      </c>
    </row>
    <row r="37" spans="1:11">
      <c r="A37" s="6" t="s">
        <v>169</v>
      </c>
      <c r="B37" s="6" t="s">
        <v>76</v>
      </c>
      <c r="C37" s="6" t="s">
        <v>76</v>
      </c>
      <c r="D37" t="s">
        <v>324</v>
      </c>
      <c r="K37" t="s">
        <v>604</v>
      </c>
    </row>
    <row r="38" spans="1:11">
      <c r="A38" s="6" t="s">
        <v>190</v>
      </c>
      <c r="B38" s="6" t="s">
        <v>95</v>
      </c>
      <c r="C38" s="6" t="s">
        <v>95</v>
      </c>
      <c r="D38" t="s">
        <v>325</v>
      </c>
      <c r="K38" t="s">
        <v>605</v>
      </c>
    </row>
    <row r="39" spans="1:11">
      <c r="A39" s="6" t="s">
        <v>191</v>
      </c>
      <c r="B39" s="6" t="s">
        <v>96</v>
      </c>
      <c r="C39" s="6" t="s">
        <v>95</v>
      </c>
      <c r="D39" t="s">
        <v>326</v>
      </c>
      <c r="K39" t="s">
        <v>606</v>
      </c>
    </row>
    <row r="40" spans="1:11">
      <c r="A40" s="6" t="s">
        <v>172</v>
      </c>
      <c r="B40" s="6" t="s">
        <v>79</v>
      </c>
      <c r="C40" s="6" t="s">
        <v>79</v>
      </c>
      <c r="D40" t="s">
        <v>638</v>
      </c>
      <c r="K40" t="s">
        <v>607</v>
      </c>
    </row>
    <row r="41" spans="1:11">
      <c r="A41" s="6" t="s">
        <v>173</v>
      </c>
      <c r="B41" s="6" t="s">
        <v>80</v>
      </c>
      <c r="C41" s="6" t="s">
        <v>143</v>
      </c>
      <c r="D41" t="s">
        <v>497</v>
      </c>
      <c r="K41" t="s">
        <v>608</v>
      </c>
    </row>
    <row r="42" spans="1:11">
      <c r="A42" s="6" t="s">
        <v>175</v>
      </c>
      <c r="B42" s="6" t="s">
        <v>82</v>
      </c>
      <c r="C42" s="6" t="s">
        <v>144</v>
      </c>
      <c r="D42" t="s">
        <v>327</v>
      </c>
      <c r="K42" t="s">
        <v>609</v>
      </c>
    </row>
    <row r="43" spans="1:11">
      <c r="A43" s="6" t="s">
        <v>176</v>
      </c>
      <c r="B43" s="6" t="s">
        <v>83</v>
      </c>
      <c r="C43" s="6" t="s">
        <v>144</v>
      </c>
      <c r="D43" t="s">
        <v>328</v>
      </c>
      <c r="K43" t="s">
        <v>610</v>
      </c>
    </row>
    <row r="44" spans="1:11">
      <c r="A44" s="6" t="s">
        <v>177</v>
      </c>
      <c r="B44" s="6" t="s">
        <v>84</v>
      </c>
      <c r="C44" s="6" t="s">
        <v>144</v>
      </c>
      <c r="D44" t="s">
        <v>639</v>
      </c>
      <c r="K44" t="s">
        <v>611</v>
      </c>
    </row>
    <row r="45" spans="1:11">
      <c r="A45" s="6" t="s">
        <v>178</v>
      </c>
      <c r="B45" s="6" t="s">
        <v>85</v>
      </c>
      <c r="C45" s="6" t="s">
        <v>144</v>
      </c>
      <c r="D45" t="s">
        <v>329</v>
      </c>
      <c r="K45" t="s">
        <v>612</v>
      </c>
    </row>
    <row r="46" spans="1:11">
      <c r="A46" s="6" t="s">
        <v>179</v>
      </c>
      <c r="B46" s="6" t="s">
        <v>86</v>
      </c>
      <c r="C46" s="6" t="s">
        <v>144</v>
      </c>
      <c r="D46" t="s">
        <v>498</v>
      </c>
      <c r="K46" t="s">
        <v>613</v>
      </c>
    </row>
    <row r="47" spans="1:11">
      <c r="A47" s="6" t="s">
        <v>174</v>
      </c>
      <c r="B47" s="6" t="s">
        <v>81</v>
      </c>
      <c r="C47" s="6" t="s">
        <v>144</v>
      </c>
      <c r="D47" t="s">
        <v>330</v>
      </c>
      <c r="K47" t="s">
        <v>614</v>
      </c>
    </row>
    <row r="48" spans="1:11">
      <c r="A48" s="6" t="s">
        <v>209</v>
      </c>
      <c r="B48" s="6" t="s">
        <v>208</v>
      </c>
      <c r="C48" s="6" t="s">
        <v>144</v>
      </c>
      <c r="D48" t="s">
        <v>331</v>
      </c>
      <c r="K48" t="s">
        <v>615</v>
      </c>
    </row>
    <row r="49" spans="1:11">
      <c r="A49" s="6" t="s">
        <v>154</v>
      </c>
      <c r="B49" s="6" t="s">
        <v>61</v>
      </c>
      <c r="C49" s="6" t="s">
        <v>134</v>
      </c>
      <c r="D49" t="s">
        <v>332</v>
      </c>
      <c r="K49" t="s">
        <v>616</v>
      </c>
    </row>
    <row r="50" spans="1:11">
      <c r="A50" s="6" t="s">
        <v>253</v>
      </c>
      <c r="B50" s="6" t="s">
        <v>254</v>
      </c>
      <c r="C50" s="6" t="s">
        <v>134</v>
      </c>
      <c r="D50" t="s">
        <v>640</v>
      </c>
      <c r="K50" t="s">
        <v>617</v>
      </c>
    </row>
    <row r="51" spans="1:11">
      <c r="A51" s="6" t="s">
        <v>255</v>
      </c>
      <c r="B51" s="6" t="s">
        <v>256</v>
      </c>
      <c r="C51" s="6" t="s">
        <v>257</v>
      </c>
      <c r="D51" t="s">
        <v>333</v>
      </c>
      <c r="K51" t="s">
        <v>618</v>
      </c>
    </row>
    <row r="52" spans="1:11">
      <c r="A52" s="6" t="s">
        <v>180</v>
      </c>
      <c r="B52" s="6" t="s">
        <v>87</v>
      </c>
      <c r="C52" s="6" t="s">
        <v>87</v>
      </c>
      <c r="D52" t="s">
        <v>499</v>
      </c>
      <c r="K52" t="s">
        <v>619</v>
      </c>
    </row>
    <row r="53" spans="1:11">
      <c r="A53" s="6" t="s">
        <v>181</v>
      </c>
      <c r="B53" s="6" t="s">
        <v>88</v>
      </c>
      <c r="C53" s="6" t="s">
        <v>145</v>
      </c>
      <c r="D53" t="s">
        <v>334</v>
      </c>
      <c r="K53" t="s">
        <v>620</v>
      </c>
    </row>
    <row r="54" spans="1:11">
      <c r="A54" s="6" t="s">
        <v>211</v>
      </c>
      <c r="B54" s="6" t="s">
        <v>210</v>
      </c>
      <c r="C54" s="6" t="s">
        <v>219</v>
      </c>
      <c r="D54" t="s">
        <v>500</v>
      </c>
      <c r="K54" t="s">
        <v>621</v>
      </c>
    </row>
    <row r="55" spans="1:11">
      <c r="A55" s="6" t="s">
        <v>213</v>
      </c>
      <c r="B55" s="6" t="s">
        <v>212</v>
      </c>
      <c r="C55" s="6" t="s">
        <v>219</v>
      </c>
      <c r="D55" t="s">
        <v>641</v>
      </c>
      <c r="K55" t="s">
        <v>622</v>
      </c>
    </row>
    <row r="56" spans="1:11">
      <c r="A56" s="6" t="s">
        <v>182</v>
      </c>
      <c r="B56" s="6" t="s">
        <v>89</v>
      </c>
      <c r="C56" s="6" t="s">
        <v>690</v>
      </c>
      <c r="D56" s="3" t="s">
        <v>501</v>
      </c>
      <c r="K56" t="s">
        <v>623</v>
      </c>
    </row>
    <row r="57" spans="1:11">
      <c r="A57" s="6" t="s">
        <v>183</v>
      </c>
      <c r="B57" s="6" t="s">
        <v>90</v>
      </c>
      <c r="C57" s="6" t="s">
        <v>149</v>
      </c>
      <c r="D57" t="s">
        <v>502</v>
      </c>
      <c r="K57" t="s">
        <v>624</v>
      </c>
    </row>
    <row r="58" spans="1:11">
      <c r="A58" s="6" t="s">
        <v>184</v>
      </c>
      <c r="B58" s="6" t="s">
        <v>91</v>
      </c>
      <c r="C58" s="6" t="s">
        <v>149</v>
      </c>
      <c r="D58" t="s">
        <v>335</v>
      </c>
    </row>
    <row r="59" spans="1:11">
      <c r="A59" s="6" t="s">
        <v>185</v>
      </c>
      <c r="B59" s="6" t="s">
        <v>92</v>
      </c>
      <c r="C59" s="6" t="s">
        <v>147</v>
      </c>
      <c r="D59" t="s">
        <v>503</v>
      </c>
    </row>
    <row r="60" spans="1:11">
      <c r="A60" s="6" t="s">
        <v>186</v>
      </c>
      <c r="B60" s="6" t="s">
        <v>93</v>
      </c>
      <c r="C60" s="6" t="s">
        <v>215</v>
      </c>
      <c r="D60" t="s">
        <v>504</v>
      </c>
    </row>
    <row r="61" spans="1:11">
      <c r="A61" s="6" t="s">
        <v>188</v>
      </c>
      <c r="B61" s="6" t="s">
        <v>187</v>
      </c>
      <c r="C61" s="6" t="s">
        <v>187</v>
      </c>
      <c r="D61" t="s">
        <v>336</v>
      </c>
    </row>
    <row r="62" spans="1:11">
      <c r="A62" s="6" t="s">
        <v>258</v>
      </c>
      <c r="B62" s="6" t="s">
        <v>259</v>
      </c>
      <c r="C62" s="6" t="s">
        <v>691</v>
      </c>
      <c r="D62" s="3" t="s">
        <v>337</v>
      </c>
    </row>
    <row r="63" spans="1:11">
      <c r="A63" s="6" t="s">
        <v>192</v>
      </c>
      <c r="B63" s="6" t="s">
        <v>97</v>
      </c>
      <c r="C63" s="6" t="s">
        <v>97</v>
      </c>
      <c r="D63" t="s">
        <v>338</v>
      </c>
    </row>
    <row r="64" spans="1:11">
      <c r="A64" s="6" t="s">
        <v>194</v>
      </c>
      <c r="B64" s="6" t="s">
        <v>99</v>
      </c>
      <c r="C64" s="6" t="s">
        <v>216</v>
      </c>
      <c r="D64" t="s">
        <v>339</v>
      </c>
    </row>
    <row r="65" spans="1:4">
      <c r="A65" s="6" t="s">
        <v>196</v>
      </c>
      <c r="B65" s="6" t="s">
        <v>101</v>
      </c>
      <c r="C65" s="6" t="s">
        <v>216</v>
      </c>
      <c r="D65" t="s">
        <v>340</v>
      </c>
    </row>
    <row r="66" spans="1:4">
      <c r="A66" s="6" t="s">
        <v>197</v>
      </c>
      <c r="B66" s="6" t="s">
        <v>102</v>
      </c>
      <c r="C66" s="6" t="s">
        <v>216</v>
      </c>
      <c r="D66" t="s">
        <v>341</v>
      </c>
    </row>
    <row r="67" spans="1:4">
      <c r="A67" s="6" t="s">
        <v>195</v>
      </c>
      <c r="B67" s="6" t="s">
        <v>100</v>
      </c>
      <c r="C67" s="6" t="s">
        <v>216</v>
      </c>
      <c r="D67" t="s">
        <v>642</v>
      </c>
    </row>
    <row r="68" spans="1:4">
      <c r="A68" s="6" t="s">
        <v>193</v>
      </c>
      <c r="B68" s="6" t="s">
        <v>98</v>
      </c>
      <c r="C68" s="6" t="s">
        <v>216</v>
      </c>
      <c r="D68" s="3" t="s">
        <v>342</v>
      </c>
    </row>
    <row r="69" spans="1:4">
      <c r="A69" s="6" t="s">
        <v>198</v>
      </c>
      <c r="B69" s="6" t="s">
        <v>103</v>
      </c>
      <c r="C69" s="6" t="s">
        <v>217</v>
      </c>
      <c r="D69" t="s">
        <v>643</v>
      </c>
    </row>
    <row r="70" spans="1:4">
      <c r="A70" s="6" t="s">
        <v>199</v>
      </c>
      <c r="B70" s="6" t="s">
        <v>104</v>
      </c>
      <c r="C70" s="6" t="s">
        <v>104</v>
      </c>
      <c r="D70" t="s">
        <v>343</v>
      </c>
    </row>
    <row r="71" spans="1:4">
      <c r="A71" s="6" t="s">
        <v>260</v>
      </c>
      <c r="B71" s="6" t="s">
        <v>261</v>
      </c>
      <c r="C71" s="6" t="s">
        <v>262</v>
      </c>
      <c r="D71" t="s">
        <v>344</v>
      </c>
    </row>
    <row r="72" spans="1:4">
      <c r="A72" s="6" t="s">
        <v>263</v>
      </c>
      <c r="B72" s="6" t="s">
        <v>264</v>
      </c>
      <c r="C72" s="6" t="s">
        <v>148</v>
      </c>
      <c r="D72" t="s">
        <v>345</v>
      </c>
    </row>
    <row r="73" spans="1:4">
      <c r="D73" t="s">
        <v>346</v>
      </c>
    </row>
    <row r="74" spans="1:4">
      <c r="D74" t="s">
        <v>505</v>
      </c>
    </row>
    <row r="75" spans="1:4">
      <c r="D75" t="s">
        <v>347</v>
      </c>
    </row>
    <row r="76" spans="1:4">
      <c r="D76" t="s">
        <v>506</v>
      </c>
    </row>
    <row r="77" spans="1:4">
      <c r="D77" t="s">
        <v>348</v>
      </c>
    </row>
    <row r="78" spans="1:4">
      <c r="D78" t="s">
        <v>507</v>
      </c>
    </row>
    <row r="79" spans="1:4">
      <c r="D79" t="s">
        <v>349</v>
      </c>
    </row>
    <row r="80" spans="1:4">
      <c r="D80" t="s">
        <v>508</v>
      </c>
    </row>
    <row r="81" spans="4:4">
      <c r="D81" t="s">
        <v>350</v>
      </c>
    </row>
    <row r="82" spans="4:4">
      <c r="D82" t="s">
        <v>351</v>
      </c>
    </row>
    <row r="83" spans="4:4">
      <c r="D83" t="s">
        <v>644</v>
      </c>
    </row>
    <row r="84" spans="4:4">
      <c r="D84" t="s">
        <v>509</v>
      </c>
    </row>
    <row r="85" spans="4:4">
      <c r="D85" t="s">
        <v>352</v>
      </c>
    </row>
    <row r="86" spans="4:4">
      <c r="D86" t="s">
        <v>353</v>
      </c>
    </row>
    <row r="87" spans="4:4">
      <c r="D87" t="s">
        <v>354</v>
      </c>
    </row>
    <row r="88" spans="4:4">
      <c r="D88" t="s">
        <v>510</v>
      </c>
    </row>
    <row r="89" spans="4:4">
      <c r="D89" t="s">
        <v>511</v>
      </c>
    </row>
    <row r="90" spans="4:4">
      <c r="D90" t="s">
        <v>645</v>
      </c>
    </row>
    <row r="91" spans="4:4">
      <c r="D91" t="s">
        <v>355</v>
      </c>
    </row>
    <row r="92" spans="4:4">
      <c r="D92" t="s">
        <v>356</v>
      </c>
    </row>
    <row r="93" spans="4:4">
      <c r="D93" t="s">
        <v>357</v>
      </c>
    </row>
    <row r="94" spans="4:4">
      <c r="D94" t="s">
        <v>358</v>
      </c>
    </row>
    <row r="95" spans="4:4">
      <c r="D95" t="s">
        <v>359</v>
      </c>
    </row>
    <row r="96" spans="4:4">
      <c r="D96" t="s">
        <v>360</v>
      </c>
    </row>
    <row r="97" spans="4:4">
      <c r="D97" t="s">
        <v>646</v>
      </c>
    </row>
    <row r="98" spans="4:4">
      <c r="D98" t="s">
        <v>361</v>
      </c>
    </row>
    <row r="99" spans="4:4">
      <c r="D99" t="s">
        <v>362</v>
      </c>
    </row>
    <row r="100" spans="4:4">
      <c r="D100" t="s">
        <v>363</v>
      </c>
    </row>
    <row r="101" spans="4:4">
      <c r="D101" t="s">
        <v>364</v>
      </c>
    </row>
    <row r="102" spans="4:4">
      <c r="D102" t="s">
        <v>647</v>
      </c>
    </row>
    <row r="103" spans="4:4">
      <c r="D103" t="s">
        <v>365</v>
      </c>
    </row>
    <row r="104" spans="4:4">
      <c r="D104" t="s">
        <v>366</v>
      </c>
    </row>
    <row r="105" spans="4:4">
      <c r="D105" t="s">
        <v>648</v>
      </c>
    </row>
    <row r="106" spans="4:4">
      <c r="D106" t="s">
        <v>703</v>
      </c>
    </row>
    <row r="107" spans="4:4">
      <c r="D107" t="s">
        <v>367</v>
      </c>
    </row>
    <row r="108" spans="4:4">
      <c r="D108" t="s">
        <v>368</v>
      </c>
    </row>
    <row r="109" spans="4:4">
      <c r="D109" t="s">
        <v>369</v>
      </c>
    </row>
    <row r="110" spans="4:4">
      <c r="D110" t="s">
        <v>370</v>
      </c>
    </row>
    <row r="111" spans="4:4">
      <c r="D111" t="s">
        <v>371</v>
      </c>
    </row>
    <row r="112" spans="4:4">
      <c r="D112" t="s">
        <v>372</v>
      </c>
    </row>
    <row r="113" spans="4:4">
      <c r="D113" t="s">
        <v>373</v>
      </c>
    </row>
    <row r="114" spans="4:4">
      <c r="D114" t="s">
        <v>649</v>
      </c>
    </row>
    <row r="115" spans="4:4">
      <c r="D115" t="s">
        <v>374</v>
      </c>
    </row>
    <row r="116" spans="4:4">
      <c r="D116" t="s">
        <v>512</v>
      </c>
    </row>
    <row r="117" spans="4:4">
      <c r="D117" t="s">
        <v>513</v>
      </c>
    </row>
    <row r="118" spans="4:4">
      <c r="D118" t="s">
        <v>375</v>
      </c>
    </row>
    <row r="119" spans="4:4">
      <c r="D119" t="s">
        <v>514</v>
      </c>
    </row>
    <row r="120" spans="4:4">
      <c r="D120" t="s">
        <v>376</v>
      </c>
    </row>
    <row r="121" spans="4:4">
      <c r="D121" t="s">
        <v>377</v>
      </c>
    </row>
    <row r="122" spans="4:4">
      <c r="D122" t="s">
        <v>378</v>
      </c>
    </row>
    <row r="123" spans="4:4">
      <c r="D123" t="s">
        <v>515</v>
      </c>
    </row>
    <row r="124" spans="4:4">
      <c r="D124" t="s">
        <v>379</v>
      </c>
    </row>
    <row r="125" spans="4:4">
      <c r="D125" t="s">
        <v>380</v>
      </c>
    </row>
    <row r="126" spans="4:4">
      <c r="D126" t="s">
        <v>381</v>
      </c>
    </row>
    <row r="127" spans="4:4">
      <c r="D127" t="s">
        <v>516</v>
      </c>
    </row>
    <row r="128" spans="4:4">
      <c r="D128" t="s">
        <v>650</v>
      </c>
    </row>
    <row r="129" spans="4:4">
      <c r="D129" t="s">
        <v>382</v>
      </c>
    </row>
    <row r="130" spans="4:4">
      <c r="D130" t="s">
        <v>383</v>
      </c>
    </row>
    <row r="131" spans="4:4">
      <c r="D131" t="s">
        <v>384</v>
      </c>
    </row>
    <row r="132" spans="4:4">
      <c r="D132" t="s">
        <v>517</v>
      </c>
    </row>
    <row r="133" spans="4:4">
      <c r="D133" t="s">
        <v>518</v>
      </c>
    </row>
    <row r="134" spans="4:4">
      <c r="D134" t="s">
        <v>385</v>
      </c>
    </row>
    <row r="135" spans="4:4">
      <c r="D135" t="s">
        <v>651</v>
      </c>
    </row>
    <row r="136" spans="4:4">
      <c r="D136" t="s">
        <v>519</v>
      </c>
    </row>
    <row r="137" spans="4:4">
      <c r="D137" t="s">
        <v>652</v>
      </c>
    </row>
    <row r="138" spans="4:4">
      <c r="D138" t="s">
        <v>653</v>
      </c>
    </row>
    <row r="139" spans="4:4">
      <c r="D139" t="s">
        <v>386</v>
      </c>
    </row>
    <row r="140" spans="4:4">
      <c r="D140" t="s">
        <v>387</v>
      </c>
    </row>
    <row r="141" spans="4:4">
      <c r="D141" t="s">
        <v>654</v>
      </c>
    </row>
    <row r="142" spans="4:4">
      <c r="D142" t="s">
        <v>388</v>
      </c>
    </row>
    <row r="143" spans="4:4">
      <c r="D143" t="s">
        <v>655</v>
      </c>
    </row>
    <row r="144" spans="4:4">
      <c r="D144" t="s">
        <v>389</v>
      </c>
    </row>
    <row r="145" spans="4:4">
      <c r="D145" t="s">
        <v>656</v>
      </c>
    </row>
    <row r="146" spans="4:4">
      <c r="D146" t="s">
        <v>390</v>
      </c>
    </row>
    <row r="147" spans="4:4">
      <c r="D147" t="s">
        <v>657</v>
      </c>
    </row>
    <row r="148" spans="4:4">
      <c r="D148" t="s">
        <v>75</v>
      </c>
    </row>
    <row r="149" spans="4:4">
      <c r="D149" t="s">
        <v>391</v>
      </c>
    </row>
    <row r="150" spans="4:4">
      <c r="D150" t="s">
        <v>392</v>
      </c>
    </row>
    <row r="151" spans="4:4">
      <c r="D151" t="s">
        <v>393</v>
      </c>
    </row>
    <row r="152" spans="4:4">
      <c r="D152" t="s">
        <v>394</v>
      </c>
    </row>
    <row r="153" spans="4:4">
      <c r="D153" t="s">
        <v>520</v>
      </c>
    </row>
    <row r="154" spans="4:4">
      <c r="D154" t="s">
        <v>395</v>
      </c>
    </row>
    <row r="155" spans="4:4">
      <c r="D155" t="s">
        <v>396</v>
      </c>
    </row>
    <row r="156" spans="4:4">
      <c r="D156" t="s">
        <v>397</v>
      </c>
    </row>
    <row r="157" spans="4:4">
      <c r="D157" t="s">
        <v>398</v>
      </c>
    </row>
    <row r="158" spans="4:4">
      <c r="D158" t="s">
        <v>521</v>
      </c>
    </row>
    <row r="159" spans="4:4">
      <c r="D159" t="s">
        <v>399</v>
      </c>
    </row>
    <row r="160" spans="4:4">
      <c r="D160" t="s">
        <v>522</v>
      </c>
    </row>
    <row r="161" spans="4:4">
      <c r="D161" t="s">
        <v>658</v>
      </c>
    </row>
    <row r="162" spans="4:4">
      <c r="D162" t="s">
        <v>523</v>
      </c>
    </row>
    <row r="163" spans="4:4">
      <c r="D163" t="s">
        <v>524</v>
      </c>
    </row>
    <row r="164" spans="4:4">
      <c r="D164" t="s">
        <v>659</v>
      </c>
    </row>
    <row r="165" spans="4:4">
      <c r="D165" t="s">
        <v>525</v>
      </c>
    </row>
    <row r="166" spans="4:4">
      <c r="D166" t="s">
        <v>400</v>
      </c>
    </row>
    <row r="167" spans="4:4">
      <c r="D167" t="s">
        <v>401</v>
      </c>
    </row>
    <row r="168" spans="4:4">
      <c r="D168" t="s">
        <v>402</v>
      </c>
    </row>
    <row r="169" spans="4:4">
      <c r="D169" t="s">
        <v>403</v>
      </c>
    </row>
    <row r="170" spans="4:4">
      <c r="D170" t="s">
        <v>404</v>
      </c>
    </row>
    <row r="171" spans="4:4">
      <c r="D171" t="s">
        <v>405</v>
      </c>
    </row>
    <row r="172" spans="4:4">
      <c r="D172" t="s">
        <v>406</v>
      </c>
    </row>
    <row r="173" spans="4:4">
      <c r="D173" t="s">
        <v>407</v>
      </c>
    </row>
    <row r="174" spans="4:4">
      <c r="D174" t="s">
        <v>408</v>
      </c>
    </row>
    <row r="175" spans="4:4">
      <c r="D175" t="s">
        <v>409</v>
      </c>
    </row>
    <row r="176" spans="4:4">
      <c r="D176" t="s">
        <v>660</v>
      </c>
    </row>
    <row r="177" spans="4:4">
      <c r="D177" t="s">
        <v>526</v>
      </c>
    </row>
    <row r="178" spans="4:4">
      <c r="D178" t="s">
        <v>527</v>
      </c>
    </row>
    <row r="179" spans="4:4">
      <c r="D179" t="s">
        <v>410</v>
      </c>
    </row>
    <row r="180" spans="4:4">
      <c r="D180" t="s">
        <v>411</v>
      </c>
    </row>
    <row r="181" spans="4:4">
      <c r="D181" t="s">
        <v>661</v>
      </c>
    </row>
    <row r="182" spans="4:4">
      <c r="D182" t="s">
        <v>412</v>
      </c>
    </row>
    <row r="183" spans="4:4">
      <c r="D183" t="s">
        <v>413</v>
      </c>
    </row>
    <row r="184" spans="4:4">
      <c r="D184" t="s">
        <v>414</v>
      </c>
    </row>
    <row r="185" spans="4:4">
      <c r="D185" t="s">
        <v>662</v>
      </c>
    </row>
    <row r="186" spans="4:4">
      <c r="D186" t="s">
        <v>415</v>
      </c>
    </row>
    <row r="187" spans="4:4">
      <c r="D187" t="s">
        <v>416</v>
      </c>
    </row>
    <row r="188" spans="4:4">
      <c r="D188" t="s">
        <v>663</v>
      </c>
    </row>
    <row r="189" spans="4:4">
      <c r="D189" t="s">
        <v>528</v>
      </c>
    </row>
    <row r="190" spans="4:4">
      <c r="D190" t="s">
        <v>417</v>
      </c>
    </row>
    <row r="191" spans="4:4">
      <c r="D191" t="s">
        <v>418</v>
      </c>
    </row>
    <row r="192" spans="4:4">
      <c r="D192" t="s">
        <v>529</v>
      </c>
    </row>
    <row r="193" spans="4:4">
      <c r="D193" t="s">
        <v>419</v>
      </c>
    </row>
    <row r="194" spans="4:4">
      <c r="D194" t="s">
        <v>530</v>
      </c>
    </row>
    <row r="195" spans="4:4">
      <c r="D195" t="s">
        <v>420</v>
      </c>
    </row>
    <row r="196" spans="4:4">
      <c r="D196" t="s">
        <v>421</v>
      </c>
    </row>
    <row r="197" spans="4:4">
      <c r="D197" t="s">
        <v>531</v>
      </c>
    </row>
    <row r="198" spans="4:4">
      <c r="D198" t="s">
        <v>422</v>
      </c>
    </row>
    <row r="199" spans="4:4">
      <c r="D199" t="s">
        <v>423</v>
      </c>
    </row>
    <row r="200" spans="4:4">
      <c r="D200" t="s">
        <v>424</v>
      </c>
    </row>
    <row r="201" spans="4:4">
      <c r="D201" t="s">
        <v>425</v>
      </c>
    </row>
    <row r="202" spans="4:4">
      <c r="D202" t="s">
        <v>426</v>
      </c>
    </row>
    <row r="203" spans="4:4">
      <c r="D203" t="s">
        <v>427</v>
      </c>
    </row>
    <row r="204" spans="4:4">
      <c r="D204" t="s">
        <v>428</v>
      </c>
    </row>
    <row r="205" spans="4:4">
      <c r="D205" t="s">
        <v>429</v>
      </c>
    </row>
    <row r="206" spans="4:4">
      <c r="D206" t="s">
        <v>430</v>
      </c>
    </row>
    <row r="207" spans="4:4">
      <c r="D207" t="s">
        <v>532</v>
      </c>
    </row>
    <row r="208" spans="4:4">
      <c r="D208" t="s">
        <v>664</v>
      </c>
    </row>
    <row r="209" spans="4:4">
      <c r="D209" t="s">
        <v>533</v>
      </c>
    </row>
    <row r="210" spans="4:4">
      <c r="D210" t="s">
        <v>431</v>
      </c>
    </row>
    <row r="211" spans="4:4">
      <c r="D211" t="s">
        <v>432</v>
      </c>
    </row>
    <row r="212" spans="4:4">
      <c r="D212" t="s">
        <v>433</v>
      </c>
    </row>
    <row r="213" spans="4:4">
      <c r="D213" t="s">
        <v>534</v>
      </c>
    </row>
    <row r="214" spans="4:4">
      <c r="D214" t="s">
        <v>665</v>
      </c>
    </row>
    <row r="215" spans="4:4">
      <c r="D215" t="s">
        <v>434</v>
      </c>
    </row>
    <row r="216" spans="4:4">
      <c r="D216" t="s">
        <v>435</v>
      </c>
    </row>
    <row r="217" spans="4:4">
      <c r="D217" t="s">
        <v>436</v>
      </c>
    </row>
    <row r="218" spans="4:4">
      <c r="D218" t="s">
        <v>535</v>
      </c>
    </row>
    <row r="219" spans="4:4">
      <c r="D219" t="s">
        <v>666</v>
      </c>
    </row>
    <row r="220" spans="4:4">
      <c r="D220" t="s">
        <v>437</v>
      </c>
    </row>
    <row r="221" spans="4:4">
      <c r="D221" t="s">
        <v>438</v>
      </c>
    </row>
    <row r="222" spans="4:4">
      <c r="D222" t="s">
        <v>439</v>
      </c>
    </row>
    <row r="223" spans="4:4">
      <c r="D223" t="s">
        <v>536</v>
      </c>
    </row>
    <row r="224" spans="4:4">
      <c r="D224" t="s">
        <v>440</v>
      </c>
    </row>
    <row r="225" spans="4:4">
      <c r="D225" t="s">
        <v>537</v>
      </c>
    </row>
    <row r="226" spans="4:4">
      <c r="D226" t="s">
        <v>538</v>
      </c>
    </row>
    <row r="227" spans="4:4">
      <c r="D227" t="s">
        <v>539</v>
      </c>
    </row>
    <row r="228" spans="4:4">
      <c r="D228" t="s">
        <v>540</v>
      </c>
    </row>
    <row r="229" spans="4:4">
      <c r="D229" t="s">
        <v>441</v>
      </c>
    </row>
    <row r="230" spans="4:4">
      <c r="D230" t="s">
        <v>442</v>
      </c>
    </row>
    <row r="231" spans="4:4">
      <c r="D231" t="s">
        <v>443</v>
      </c>
    </row>
    <row r="232" spans="4:4">
      <c r="D232" t="s">
        <v>444</v>
      </c>
    </row>
    <row r="233" spans="4:4">
      <c r="D233" t="s">
        <v>445</v>
      </c>
    </row>
    <row r="234" spans="4:4">
      <c r="D234" t="s">
        <v>446</v>
      </c>
    </row>
    <row r="235" spans="4:4">
      <c r="D235" t="s">
        <v>215</v>
      </c>
    </row>
    <row r="236" spans="4:4">
      <c r="D236" t="s">
        <v>447</v>
      </c>
    </row>
    <row r="237" spans="4:4">
      <c r="D237" t="s">
        <v>541</v>
      </c>
    </row>
    <row r="238" spans="4:4">
      <c r="D238" t="s">
        <v>448</v>
      </c>
    </row>
    <row r="239" spans="4:4">
      <c r="D239" t="s">
        <v>667</v>
      </c>
    </row>
    <row r="240" spans="4:4">
      <c r="D240" t="s">
        <v>449</v>
      </c>
    </row>
    <row r="241" spans="4:4">
      <c r="D241" t="s">
        <v>450</v>
      </c>
    </row>
    <row r="242" spans="4:4">
      <c r="D242" t="s">
        <v>542</v>
      </c>
    </row>
    <row r="243" spans="4:4">
      <c r="D243" t="s">
        <v>543</v>
      </c>
    </row>
    <row r="244" spans="4:4">
      <c r="D244" t="s">
        <v>451</v>
      </c>
    </row>
    <row r="245" spans="4:4">
      <c r="D245" t="s">
        <v>544</v>
      </c>
    </row>
    <row r="246" spans="4:4">
      <c r="D246" t="s">
        <v>704</v>
      </c>
    </row>
    <row r="247" spans="4:4">
      <c r="D247" t="s">
        <v>668</v>
      </c>
    </row>
    <row r="248" spans="4:4">
      <c r="D248" t="s">
        <v>452</v>
      </c>
    </row>
    <row r="249" spans="4:4">
      <c r="D249" t="s">
        <v>545</v>
      </c>
    </row>
    <row r="250" spans="4:4">
      <c r="D250" t="s">
        <v>453</v>
      </c>
    </row>
    <row r="251" spans="4:4">
      <c r="D251" t="s">
        <v>454</v>
      </c>
    </row>
    <row r="252" spans="4:4">
      <c r="D252" t="s">
        <v>455</v>
      </c>
    </row>
    <row r="253" spans="4:4">
      <c r="D253" t="s">
        <v>546</v>
      </c>
    </row>
    <row r="254" spans="4:4">
      <c r="D254" t="s">
        <v>456</v>
      </c>
    </row>
    <row r="255" spans="4:4">
      <c r="D255" t="s">
        <v>457</v>
      </c>
    </row>
    <row r="256" spans="4:4">
      <c r="D256" t="s">
        <v>458</v>
      </c>
    </row>
    <row r="257" spans="4:4">
      <c r="D257" t="s">
        <v>459</v>
      </c>
    </row>
    <row r="258" spans="4:4">
      <c r="D258" t="s">
        <v>460</v>
      </c>
    </row>
    <row r="259" spans="4:4">
      <c r="D259" t="s">
        <v>461</v>
      </c>
    </row>
    <row r="260" spans="4:4">
      <c r="D260" t="s">
        <v>462</v>
      </c>
    </row>
    <row r="261" spans="4:4">
      <c r="D261" t="s">
        <v>547</v>
      </c>
    </row>
    <row r="262" spans="4:4">
      <c r="D262" t="s">
        <v>463</v>
      </c>
    </row>
    <row r="263" spans="4:4">
      <c r="D263" t="s">
        <v>464</v>
      </c>
    </row>
    <row r="264" spans="4:4">
      <c r="D264" t="s">
        <v>465</v>
      </c>
    </row>
    <row r="265" spans="4:4">
      <c r="D265" t="s">
        <v>466</v>
      </c>
    </row>
    <row r="266" spans="4:4">
      <c r="D266" t="s">
        <v>467</v>
      </c>
    </row>
    <row r="267" spans="4:4">
      <c r="D267" t="s">
        <v>669</v>
      </c>
    </row>
    <row r="268" spans="4:4">
      <c r="D268" t="s">
        <v>468</v>
      </c>
    </row>
    <row r="269" spans="4:4">
      <c r="D269" t="s">
        <v>469</v>
      </c>
    </row>
    <row r="270" spans="4:4">
      <c r="D270" t="s">
        <v>470</v>
      </c>
    </row>
    <row r="271" spans="4:4">
      <c r="D271" t="s">
        <v>471</v>
      </c>
    </row>
    <row r="272" spans="4:4">
      <c r="D272" t="s">
        <v>472</v>
      </c>
    </row>
    <row r="273" spans="4:4">
      <c r="D273" t="s">
        <v>473</v>
      </c>
    </row>
    <row r="274" spans="4:4">
      <c r="D274" t="s">
        <v>474</v>
      </c>
    </row>
    <row r="275" spans="4:4">
      <c r="D275" t="s">
        <v>475</v>
      </c>
    </row>
    <row r="276" spans="4:4">
      <c r="D276" t="s">
        <v>670</v>
      </c>
    </row>
    <row r="277" spans="4:4">
      <c r="D277" t="s">
        <v>548</v>
      </c>
    </row>
    <row r="278" spans="4:4">
      <c r="D278" t="s">
        <v>476</v>
      </c>
    </row>
    <row r="279" spans="4:4">
      <c r="D279" t="s">
        <v>477</v>
      </c>
    </row>
    <row r="280" spans="4:4">
      <c r="D280" t="s">
        <v>478</v>
      </c>
    </row>
    <row r="281" spans="4:4">
      <c r="D281" t="s">
        <v>479</v>
      </c>
    </row>
    <row r="282" spans="4:4">
      <c r="D282" t="s">
        <v>480</v>
      </c>
    </row>
    <row r="283" spans="4:4">
      <c r="D283" t="s">
        <v>549</v>
      </c>
    </row>
    <row r="284" spans="4:4">
      <c r="D284" t="s">
        <v>550</v>
      </c>
    </row>
    <row r="285" spans="4:4">
      <c r="D285" t="s">
        <v>481</v>
      </c>
    </row>
    <row r="286" spans="4:4">
      <c r="D286" t="s">
        <v>551</v>
      </c>
    </row>
    <row r="287" spans="4:4">
      <c r="D287" t="s">
        <v>552</v>
      </c>
    </row>
    <row r="288" spans="4:4">
      <c r="D288" t="s">
        <v>482</v>
      </c>
    </row>
    <row r="289" spans="4:4">
      <c r="D289" t="s">
        <v>483</v>
      </c>
    </row>
    <row r="290" spans="4:4">
      <c r="D290" t="s">
        <v>484</v>
      </c>
    </row>
    <row r="291" spans="4:4">
      <c r="D291" t="s">
        <v>485</v>
      </c>
    </row>
    <row r="292" spans="4:4">
      <c r="D292" t="s">
        <v>486</v>
      </c>
    </row>
    <row r="293" spans="4:4">
      <c r="D293" t="s">
        <v>487</v>
      </c>
    </row>
    <row r="294" spans="4:4">
      <c r="D294" t="s">
        <v>488</v>
      </c>
    </row>
    <row r="295" spans="4:4">
      <c r="D295" t="s">
        <v>553</v>
      </c>
    </row>
    <row r="296" spans="4:4">
      <c r="D296" t="s">
        <v>554</v>
      </c>
    </row>
  </sheetData>
  <autoFilter ref="D1:L294" xr:uid="{0DC4EC44-4A4D-4D74-8861-CE5F67747206}"/>
  <phoneticPr fontId="29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workbookViewId="0">
      <selection activeCell="T4" sqref="T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10" width="14.28515625" customWidth="1"/>
    <col min="11" max="11" width="8.140625" customWidth="1"/>
    <col min="12" max="12" width="14.28515625" customWidth="1"/>
    <col min="13" max="13" width="29.5703125" customWidth="1"/>
    <col min="14" max="17" width="14.28515625" customWidth="1"/>
    <col min="19" max="19" width="22" customWidth="1"/>
    <col min="20" max="20" width="20.140625" customWidth="1"/>
  </cols>
  <sheetData>
    <row r="1" spans="1:21" s="4" customFormat="1" ht="41.45" customHeight="1">
      <c r="A1" s="4" t="s">
        <v>19</v>
      </c>
      <c r="B1" s="4" t="s">
        <v>28</v>
      </c>
      <c r="C1" s="4" t="s">
        <v>30</v>
      </c>
      <c r="D1" s="4" t="s">
        <v>41</v>
      </c>
      <c r="E1" s="4" t="s">
        <v>626</v>
      </c>
      <c r="F1" s="4" t="s">
        <v>21</v>
      </c>
      <c r="G1" s="4" t="s">
        <v>23</v>
      </c>
      <c r="H1" s="4" t="s">
        <v>47</v>
      </c>
      <c r="I1" s="4" t="s">
        <v>31</v>
      </c>
      <c r="J1" s="4" t="s">
        <v>747</v>
      </c>
      <c r="K1" s="4" t="s">
        <v>40</v>
      </c>
      <c r="L1" s="4" t="s">
        <v>41</v>
      </c>
      <c r="M1" s="15" t="s">
        <v>672</v>
      </c>
      <c r="N1" s="4" t="s">
        <v>22</v>
      </c>
      <c r="O1" s="4" t="s">
        <v>24</v>
      </c>
      <c r="P1" s="4" t="s">
        <v>29</v>
      </c>
      <c r="Q1" s="4" t="s">
        <v>32</v>
      </c>
      <c r="R1" s="4" t="s">
        <v>759</v>
      </c>
      <c r="S1" s="5" t="s">
        <v>671</v>
      </c>
      <c r="T1" s="4" t="s">
        <v>4</v>
      </c>
      <c r="U1" s="4" t="s">
        <v>54</v>
      </c>
    </row>
    <row r="2" spans="1:21" ht="14.45" customHeight="1">
      <c r="A2" t="s">
        <v>221</v>
      </c>
      <c r="D2" s="3" t="s">
        <v>0</v>
      </c>
      <c r="E2" s="13"/>
      <c r="F2" s="3" t="s">
        <v>26</v>
      </c>
      <c r="G2" s="3" t="s">
        <v>33</v>
      </c>
      <c r="H2" s="3" t="s">
        <v>36</v>
      </c>
      <c r="I2" s="3" t="s">
        <v>105</v>
      </c>
      <c r="J2" s="3"/>
      <c r="L2" s="3" t="s">
        <v>0</v>
      </c>
      <c r="M2" s="14" t="s">
        <v>755</v>
      </c>
      <c r="N2" s="3" t="s">
        <v>222</v>
      </c>
      <c r="O2" s="3" t="s">
        <v>226</v>
      </c>
      <c r="P2" s="3" t="s">
        <v>125</v>
      </c>
      <c r="Q2" s="3" t="s">
        <v>0</v>
      </c>
      <c r="R2" t="s">
        <v>760</v>
      </c>
      <c r="S2" t="s">
        <v>5</v>
      </c>
      <c r="T2" s="7" t="s">
        <v>127</v>
      </c>
      <c r="U2" s="3" t="s">
        <v>0</v>
      </c>
    </row>
    <row r="3" spans="1:21">
      <c r="A3" t="s">
        <v>152</v>
      </c>
      <c r="B3">
        <v>2025</v>
      </c>
      <c r="C3" s="3" t="s">
        <v>44</v>
      </c>
      <c r="D3" s="3" t="s">
        <v>1</v>
      </c>
      <c r="E3" s="13" t="s">
        <v>627</v>
      </c>
      <c r="F3" s="3" t="s">
        <v>25</v>
      </c>
      <c r="G3" s="3" t="s">
        <v>2</v>
      </c>
      <c r="H3" s="3" t="s">
        <v>37</v>
      </c>
      <c r="I3" s="3" t="s">
        <v>106</v>
      </c>
      <c r="J3" s="3" t="s">
        <v>776</v>
      </c>
      <c r="K3" s="3" t="s">
        <v>52</v>
      </c>
      <c r="L3" s="3" t="s">
        <v>1</v>
      </c>
      <c r="M3" s="14" t="s">
        <v>751</v>
      </c>
      <c r="N3" s="3" t="s">
        <v>223</v>
      </c>
      <c r="O3" s="3"/>
      <c r="P3" s="3" t="s">
        <v>126</v>
      </c>
      <c r="Q3" s="3" t="s">
        <v>1</v>
      </c>
      <c r="R3" t="s">
        <v>761</v>
      </c>
      <c r="S3" t="s">
        <v>6</v>
      </c>
      <c r="T3" s="7" t="s">
        <v>128</v>
      </c>
      <c r="U3" s="3" t="s">
        <v>1</v>
      </c>
    </row>
    <row r="4" spans="1:21">
      <c r="B4">
        <v>2026</v>
      </c>
      <c r="C4" s="3" t="s">
        <v>45</v>
      </c>
      <c r="D4" s="3"/>
      <c r="E4" s="13" t="s">
        <v>628</v>
      </c>
      <c r="F4" s="3"/>
      <c r="G4" t="s">
        <v>559</v>
      </c>
      <c r="H4" s="3" t="s">
        <v>790</v>
      </c>
      <c r="I4" s="3" t="s">
        <v>107</v>
      </c>
      <c r="J4" s="3" t="s">
        <v>777</v>
      </c>
      <c r="K4" s="3" t="s">
        <v>53</v>
      </c>
      <c r="L4" s="3"/>
      <c r="M4" s="14" t="s">
        <v>753</v>
      </c>
      <c r="N4" s="3" t="s">
        <v>224</v>
      </c>
      <c r="O4" s="3"/>
      <c r="P4" s="3"/>
      <c r="Q4" s="3"/>
      <c r="R4" t="s">
        <v>762</v>
      </c>
      <c r="S4" t="s">
        <v>7</v>
      </c>
      <c r="T4" s="3" t="s">
        <v>791</v>
      </c>
    </row>
    <row r="5" spans="1:21">
      <c r="B5">
        <v>2027</v>
      </c>
      <c r="C5" s="3" t="s">
        <v>43</v>
      </c>
      <c r="D5" s="3"/>
      <c r="E5" s="13" t="s">
        <v>629</v>
      </c>
      <c r="F5" s="3"/>
      <c r="G5" s="3" t="s">
        <v>48</v>
      </c>
      <c r="H5" s="3" t="s">
        <v>555</v>
      </c>
      <c r="I5" s="11" t="s">
        <v>560</v>
      </c>
      <c r="J5" t="s">
        <v>778</v>
      </c>
      <c r="L5" s="3"/>
      <c r="M5" s="14" t="s">
        <v>758</v>
      </c>
      <c r="N5" s="3" t="s">
        <v>225</v>
      </c>
      <c r="O5" s="3"/>
      <c r="P5" s="3"/>
      <c r="Q5" s="3"/>
      <c r="R5" t="s">
        <v>763</v>
      </c>
      <c r="S5" t="s">
        <v>8</v>
      </c>
      <c r="T5" s="3" t="s">
        <v>130</v>
      </c>
    </row>
    <row r="6" spans="1:21">
      <c r="C6" s="3" t="s">
        <v>42</v>
      </c>
      <c r="E6" s="13" t="s">
        <v>630</v>
      </c>
      <c r="G6" s="3" t="s">
        <v>49</v>
      </c>
      <c r="H6" s="3" t="s">
        <v>556</v>
      </c>
      <c r="J6" t="s">
        <v>779</v>
      </c>
      <c r="M6" s="14" t="s">
        <v>754</v>
      </c>
      <c r="R6" t="s">
        <v>764</v>
      </c>
      <c r="S6" s="1" t="s">
        <v>9</v>
      </c>
      <c r="T6" s="3" t="s">
        <v>129</v>
      </c>
    </row>
    <row r="7" spans="1:21">
      <c r="C7" s="12" t="s">
        <v>625</v>
      </c>
      <c r="G7" s="3" t="s">
        <v>50</v>
      </c>
      <c r="H7" s="3" t="s">
        <v>38</v>
      </c>
      <c r="J7" t="s">
        <v>780</v>
      </c>
      <c r="M7" s="14" t="s">
        <v>752</v>
      </c>
      <c r="R7" t="s">
        <v>765</v>
      </c>
      <c r="S7" t="s">
        <v>10</v>
      </c>
    </row>
    <row r="8" spans="1:21">
      <c r="G8" s="3" t="s">
        <v>51</v>
      </c>
      <c r="H8" s="3" t="s">
        <v>557</v>
      </c>
      <c r="J8" t="s">
        <v>781</v>
      </c>
      <c r="M8" s="14" t="s">
        <v>756</v>
      </c>
      <c r="R8" t="s">
        <v>766</v>
      </c>
      <c r="S8" t="s">
        <v>11</v>
      </c>
    </row>
    <row r="9" spans="1:21">
      <c r="G9" s="3"/>
      <c r="H9" s="3" t="s">
        <v>558</v>
      </c>
      <c r="J9" t="s">
        <v>782</v>
      </c>
      <c r="M9" s="14" t="s">
        <v>689</v>
      </c>
      <c r="R9" t="s">
        <v>767</v>
      </c>
      <c r="S9" t="s">
        <v>12</v>
      </c>
    </row>
    <row r="10" spans="1:21">
      <c r="J10" t="s">
        <v>783</v>
      </c>
      <c r="R10" t="s">
        <v>768</v>
      </c>
      <c r="S10" t="s">
        <v>13</v>
      </c>
    </row>
    <row r="11" spans="1:21">
      <c r="J11" t="s">
        <v>784</v>
      </c>
      <c r="R11" t="s">
        <v>769</v>
      </c>
      <c r="S11" t="s">
        <v>14</v>
      </c>
    </row>
    <row r="12" spans="1:21">
      <c r="R12" t="s">
        <v>770</v>
      </c>
      <c r="S12" t="s">
        <v>15</v>
      </c>
    </row>
    <row r="13" spans="1:21">
      <c r="R13" t="s">
        <v>771</v>
      </c>
      <c r="S13" s="2" t="s">
        <v>16</v>
      </c>
    </row>
    <row r="14" spans="1:21">
      <c r="R14" t="s">
        <v>772</v>
      </c>
      <c r="S14" s="2" t="s">
        <v>17</v>
      </c>
    </row>
    <row r="15" spans="1:21">
      <c r="S15" t="s">
        <v>227</v>
      </c>
    </row>
    <row r="16" spans="1:21">
      <c r="S16" s="3" t="s">
        <v>631</v>
      </c>
    </row>
    <row r="17" spans="19:19">
      <c r="S17" s="3"/>
    </row>
  </sheetData>
  <autoFilter ref="B1:T1" xr:uid="{CEB295A8-E453-403A-A9BA-9F06E2BA3E15}"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Item</vt:lpstr>
      <vt:lpstr>Puff 1211</vt:lpstr>
      <vt:lpstr>ValueSelection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2025-12-15T02:08:53Z</dcterms:modified>
</cp:coreProperties>
</file>