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08A650C-4EFF-4CC4-8E89-0E87E98D8B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2" i="5" l="1"/>
  <c r="BJ3" i="5"/>
  <c r="BH3" i="5"/>
  <c r="BD3" i="5" s="1"/>
  <c r="BA3" i="5"/>
  <c r="AS3" i="5"/>
  <c r="AS2" i="5"/>
  <c r="V3" i="5"/>
  <c r="AW3" i="5" l="1"/>
  <c r="AY3" i="5"/>
  <c r="BE3" i="5"/>
  <c r="BR3" i="5"/>
  <c r="BQ3" i="5" s="1"/>
  <c r="BR2" i="5"/>
  <c r="BQ2" i="5" s="1"/>
  <c r="BJ2" i="5"/>
  <c r="BP2" i="5"/>
  <c r="BT2" i="5" l="1"/>
  <c r="BP3" i="5"/>
  <c r="BT3" i="5" l="1"/>
  <c r="AD3" i="5" l="1"/>
  <c r="AD2" i="5"/>
  <c r="AO2" i="5" l="1"/>
  <c r="AQ2" i="5" s="1"/>
  <c r="AO3" i="5"/>
  <c r="AQ3" i="5" s="1"/>
  <c r="AW2" i="5" l="1"/>
  <c r="AY2" i="5"/>
  <c r="BA2" i="5"/>
  <c r="BD2" i="5"/>
  <c r="BE2" i="5" l="1"/>
  <c r="AT3" i="5" l="1"/>
  <c r="AU3" i="5" s="1"/>
  <c r="V2" i="5"/>
  <c r="AT2" i="5"/>
  <c r="AU2" i="5" s="1"/>
  <c r="BF3" i="5" l="1"/>
  <c r="BS3" i="5"/>
  <c r="BS2" i="5"/>
  <c r="BF2" i="5"/>
  <c r="BL3" i="5" l="1"/>
  <c r="BM3" i="5" s="1"/>
  <c r="BG3" i="5"/>
  <c r="BL2" i="5"/>
  <c r="BM2" i="5" s="1"/>
  <c r="BG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V1" authorId="0" shapeId="0" xr:uid="{88B12231-90D6-46B5-B08B-475440CB4681}">
      <text>
        <r>
          <rPr>
            <sz val="11"/>
            <rFont val="Calibri"/>
            <family val="2"/>
          </rPr>
          <t>[FOB Cost (Value)]*[Exchange Rate]</t>
        </r>
      </text>
    </comment>
    <comment ref="AD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O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Q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T1" authorId="0" shapeId="0" xr:uid="{E404EDE1-E7C1-4613-A108-4E81F388B2AB}">
      <text>
        <r>
          <rPr>
            <sz val="11"/>
            <rFont val="Calibri"/>
            <family val="2"/>
          </rPr>
          <t>[FOB Cost $ (Formula)]*[Duty Rate]</t>
        </r>
      </text>
    </comment>
    <comment ref="AU1" authorId="0" shapeId="0" xr:uid="{F816DABE-E84C-4F04-B8FB-D745276C46BA}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W1" authorId="0" shapeId="0" xr:uid="{E9E29836-2CEC-4E14-98F0-97403CBAC5B6}">
      <text>
        <r>
          <rPr>
            <sz val="11"/>
            <rFont val="Calibri"/>
            <family val="2"/>
          </rPr>
          <t>[Standard Price]*[DA %]</t>
        </r>
      </text>
    </comment>
    <comment ref="AY1" authorId="0" shapeId="0" xr:uid="{432D660A-4B6A-40D5-9357-36FC52DE7BD5}">
      <text>
        <r>
          <rPr>
            <sz val="11"/>
            <rFont val="Calibri"/>
            <family val="2"/>
          </rPr>
          <t>[Standard Price]*[Warehouse Charge %]</t>
        </r>
      </text>
    </comment>
    <comment ref="BA1" authorId="0" shapeId="0" xr:uid="{B7979F8D-5AA0-4620-AC90-7A7894B95D3D}">
      <text>
        <r>
          <rPr>
            <sz val="11"/>
            <rFont val="Calibri"/>
            <family val="2"/>
          </rPr>
          <t>[Standard Price]*[Marketing %]</t>
        </r>
      </text>
    </comment>
    <comment ref="BD1" authorId="0" shapeId="0" xr:uid="{55F9AB7A-F55E-4DBA-8839-0DD91F07CE98}">
      <text>
        <r>
          <rPr>
            <sz val="11"/>
            <rFont val="Calibri"/>
            <family val="2"/>
          </rPr>
          <t>[Standard Price]*[Other Load %]</t>
        </r>
      </text>
    </comment>
    <comment ref="BE1" authorId="0" shapeId="0" xr:uid="{4F149159-1AE5-4C93-85FC-77D666DE71B2}">
      <text>
        <r>
          <rPr>
            <sz val="11"/>
            <rFont val="Calibri"/>
            <family val="2"/>
          </rPr>
          <t>[DA $]+[Warehouse Charge $]+[Marketing $]+[Other Load $]</t>
        </r>
      </text>
    </comment>
    <comment ref="BF1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BG1" authorId="0" shapeId="0" xr:uid="{4A0A7424-BF21-429A-BC98-28F493F28EBA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H1" authorId="0" shapeId="0" xr:uid="{E1E5B7D6-F895-4D28-A79A-721679C951A7}">
      <text>
        <r>
          <rPr>
            <sz val="11"/>
            <rFont val="Calibri"/>
            <family val="2"/>
          </rPr>
          <t>[Average Retail Price]*(1-60%)</t>
        </r>
      </text>
    </comment>
    <comment ref="BJ1" authorId="0" shapeId="0" xr:uid="{2C6D88FA-1395-46E4-941F-B89768A7A8BA}">
      <text>
        <r>
          <rPr>
            <sz val="11"/>
            <rFont val="Calibri"/>
            <family val="2"/>
          </rPr>
          <t>[Average Retail Price]*[Retail Marketing %]</t>
        </r>
      </text>
    </comment>
    <comment ref="BL1" authorId="0" shapeId="0" xr:uid="{B15A286B-5F36-4022-9D91-9AA57A2A81A6}">
      <text>
        <r>
          <rPr>
            <sz val="11"/>
            <rFont val="Calibri"/>
            <family val="2"/>
          </rPr>
          <t>[Average Retail Price]*(1-60%)</t>
        </r>
      </text>
    </comment>
    <comment ref="BM1" authorId="0" shapeId="0" xr:uid="{B5F7F0AE-29FD-4B6C-AB73-E768BB4D130F}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P1" authorId="0" shapeId="0" xr:uid="{6A536D7E-099F-45CB-9B41-637069B7EC13}">
      <text>
        <r>
          <rPr>
            <sz val="11"/>
            <rFont val="Calibri"/>
            <family val="2"/>
          </rPr>
          <t>=[Standard Price]</t>
        </r>
      </text>
    </comment>
    <comment ref="BQ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  <comment ref="BR1" authorId="0" shapeId="0" xr:uid="{E50B8CF6-43E1-47AB-9D75-99EE190CA11F}">
      <text>
        <r>
          <rPr>
            <sz val="11"/>
            <rFont val="Calibri"/>
            <family val="2"/>
          </rPr>
          <t>=[Average Retail Price]</t>
        </r>
      </text>
    </comment>
    <comment ref="BS1" authorId="0" shapeId="0" xr:uid="{8822251A-6986-425D-ADC9-8091EE6B455D}">
      <text>
        <r>
          <rPr>
            <sz val="11"/>
            <rFont val="Calibri"/>
            <family val="2"/>
          </rPr>
          <t>([Customer Cost]-[LDP Cost])/[Customer Cost]</t>
        </r>
      </text>
    </comment>
    <comment ref="BT1" authorId="0" shapeId="0" xr:uid="{9B506101-DD83-49EB-80E3-80A2B70DC526}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<sst xmlns="http://schemas.openxmlformats.org/spreadsheetml/2006/main" count="101" uniqueCount="87">
  <si>
    <t>Yes</t>
  </si>
  <si>
    <t>Brand</t>
  </si>
  <si>
    <t>Package Type</t>
  </si>
  <si>
    <t>Licensor</t>
  </si>
  <si>
    <t>Normal</t>
  </si>
  <si>
    <t>Harbor House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</si>
  <si>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</si>
  <si>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</si>
  <si>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</si>
  <si>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</si>
  <si>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</si>
  <si>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</si>
  <si>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</si>
  <si>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</si>
  <si>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</si>
  <si>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</si>
  <si>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</si>
  <si>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</si>
  <si>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</si>
  <si>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</si>
  <si>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</si>
  <si>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</si>
  <si>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</si>
  <si>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</si>
  <si>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</si>
  <si>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</si>
  <si>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</si>
  <si>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</si>
  <si>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</si>
  <si>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</si>
  <si>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</si>
  <si>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</si>
  <si>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</si>
  <si>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</si>
  <si>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</si>
  <si>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</si>
  <si>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</si>
  <si>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Total Load $</t>
  </si>
  <si>
    <t>LDP Cost with Load $</t>
  </si>
  <si>
    <t>Total Quantity</t>
  </si>
  <si>
    <t>DUVET&amp;DUVET SET</t>
  </si>
  <si>
    <t>UCCPM Price</t>
  </si>
  <si>
    <t>Customer Item#</t>
  </si>
  <si>
    <t>JLA Domestic MU%</t>
  </si>
  <si>
    <t>Trim</t>
  </si>
  <si>
    <t>Material-Short</t>
  </si>
  <si>
    <t>Duvet Mini Set</t>
  </si>
  <si>
    <t>FOB Cost (Value)</t>
  </si>
  <si>
    <t>Exchange Rate</t>
  </si>
  <si>
    <t>Product Size L (in)</t>
  </si>
  <si>
    <t>Product Size W (in)</t>
  </si>
  <si>
    <t>Product Size H (in)</t>
  </si>
  <si>
    <t>Product Net Weight (lb)</t>
  </si>
  <si>
    <t>6302.31.9050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</si>
  <si>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</si>
  <si>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</si>
  <si>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</si>
  <si>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</si>
  <si>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</si>
  <si>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</si>
  <si>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</si>
  <si>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</si>
  <si>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</si>
  <si>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</si>
  <si>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</si>
  <si>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</si>
  <si>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</si>
  <si>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</si>
  <si>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</si>
  <si>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</si>
  <si>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</si>
  <si>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</si>
  <si>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</si>
  <si>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</si>
  <si>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</si>
  <si>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</si>
  <si>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</si>
  <si>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</si>
  <si>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Ocean Wave</t>
    <phoneticPr fontId="11" type="noConversion"/>
  </si>
  <si>
    <t>Ocean Wave Duvet Mini Set</t>
    <phoneticPr fontId="11" type="noConversion"/>
  </si>
  <si>
    <t>Face fabric SPC: 100% Cotton Cut Jacquard
Back fabric SPC:  200TC 100% Cotton Percale
Duvet: Knife edge on three sides,2" self hem on the bottom with HH buttons. HH logo tie on the corners. 
Sham: fabric is same as duvet, 2" cut die, 6" open back and 6" overlap on the back.
Packing: HH label +print box with 2pcs desiccant  +shipping box+carton</t>
    <phoneticPr fontId="11" type="noConversion"/>
  </si>
  <si>
    <t xml:space="preserve">Cotton </t>
    <phoneticPr fontId="11" type="noConversion"/>
  </si>
  <si>
    <t>Full/Queen:90x94“ /20*26+2"--1pair</t>
    <phoneticPr fontId="11" type="noConversion"/>
  </si>
  <si>
    <t>Navy</t>
    <phoneticPr fontId="11" type="noConversion"/>
  </si>
  <si>
    <r>
      <t>King</t>
    </r>
    <r>
      <rPr>
        <sz val="11"/>
        <rFont val="宋体"/>
        <family val="2"/>
        <charset val="134"/>
      </rPr>
      <t>:</t>
    </r>
    <r>
      <rPr>
        <sz val="11"/>
        <rFont val="Calibri"/>
        <family val="2"/>
      </rPr>
      <t>108x94” /20*36+2"--1pair</t>
    </r>
    <phoneticPr fontId="11" type="noConversion"/>
  </si>
  <si>
    <t>HHD12-2006</t>
    <phoneticPr fontId="11" type="noConversion"/>
  </si>
  <si>
    <t>HHD12-2007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</si>
</sst>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&quot;$&quot;#,##0.0000"/>
    <numFmt numFmtId="183" formatCode="0.000"/>
    <numFmt numFmtId="184" formatCode="[$€-2]\ #,##0.00_);[Red]\([$€-2]\ #,##0.00\)"/>
    <numFmt numFmtId="185" formatCode="0.00_);[Red]\(0.00\)"/>
  </numFmts>
  <fonts count="17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sz val="11"/>
      <name val="宋体"/>
      <family val="2"/>
      <charset val="134"/>
    </font>
    <font>
      <sz val="9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79" fontId="4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4" fillId="0" borderId="0"/>
  </cellStyleXfs>
  <cellXfs count="75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7" fontId="3" fillId="0" borderId="0" xfId="4" applyNumberFormat="1"/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0" fontId="8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2" fontId="3" fillId="0" borderId="1" xfId="4" applyNumberFormat="1" applyBorder="1"/>
    <xf numFmtId="1" fontId="3" fillId="2" borderId="1" xfId="4" applyNumberFormat="1" applyFill="1" applyBorder="1"/>
    <xf numFmtId="177" fontId="3" fillId="2" borderId="1" xfId="4" applyNumberFormat="1" applyFill="1" applyBorder="1"/>
    <xf numFmtId="10" fontId="3" fillId="0" borderId="1" xfId="4" applyNumberFormat="1" applyBorder="1"/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77" fontId="6" fillId="0" borderId="1" xfId="1" applyNumberFormat="1" applyFont="1" applyBorder="1" applyAlignment="1">
      <alignment wrapText="1"/>
    </xf>
    <xf numFmtId="182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0" fontId="3" fillId="0" borderId="3" xfId="4" applyBorder="1"/>
    <xf numFmtId="183" fontId="9" fillId="0" borderId="1" xfId="1" applyNumberFormat="1" applyFont="1" applyBorder="1" applyAlignment="1">
      <alignment wrapText="1"/>
    </xf>
    <xf numFmtId="183" fontId="3" fillId="2" borderId="1" xfId="4" applyNumberFormat="1" applyFill="1" applyBorder="1"/>
    <xf numFmtId="183" fontId="3" fillId="0" borderId="0" xfId="4" applyNumberFormat="1" applyAlignment="1">
      <alignment wrapText="1"/>
    </xf>
    <xf numFmtId="0" fontId="2" fillId="6" borderId="3" xfId="4" applyFont="1" applyFill="1" applyBorder="1" applyAlignment="1">
      <alignment horizontal="center" wrapText="1"/>
    </xf>
    <xf numFmtId="177" fontId="3" fillId="0" borderId="3" xfId="4" applyNumberFormat="1" applyBorder="1"/>
    <xf numFmtId="184" fontId="3" fillId="0" borderId="1" xfId="4" applyNumberFormat="1" applyBorder="1"/>
    <xf numFmtId="177" fontId="2" fillId="4" borderId="3" xfId="4" applyNumberFormat="1" applyFont="1" applyFill="1" applyBorder="1" applyAlignment="1">
      <alignment wrapText="1"/>
    </xf>
    <xf numFmtId="2" fontId="2" fillId="4" borderId="3" xfId="4" applyNumberFormat="1" applyFont="1" applyFill="1" applyBorder="1" applyAlignment="1">
      <alignment wrapText="1"/>
    </xf>
    <xf numFmtId="2" fontId="3" fillId="0" borderId="4" xfId="4" applyNumberFormat="1" applyBorder="1"/>
    <xf numFmtId="177" fontId="3" fillId="2" borderId="3" xfId="4" applyNumberFormat="1" applyFill="1" applyBorder="1"/>
    <xf numFmtId="10" fontId="6" fillId="3" borderId="4" xfId="1" applyNumberFormat="1" applyFont="1" applyFill="1" applyBorder="1" applyAlignment="1">
      <alignment wrapText="1"/>
    </xf>
    <xf numFmtId="10" fontId="3" fillId="0" borderId="3" xfId="4" applyNumberFormat="1" applyBorder="1"/>
    <xf numFmtId="177" fontId="6" fillId="0" borderId="4" xfId="1" applyNumberFormat="1" applyFont="1" applyBorder="1" applyAlignment="1">
      <alignment wrapText="1"/>
    </xf>
    <xf numFmtId="10" fontId="3" fillId="2" borderId="1" xfId="4" applyNumberFormat="1" applyFill="1" applyBorder="1"/>
    <xf numFmtId="177" fontId="6" fillId="0" borderId="0" xfId="1" applyNumberFormat="1" applyFont="1" applyAlignment="1">
      <alignment wrapText="1"/>
    </xf>
    <xf numFmtId="177" fontId="6" fillId="3" borderId="3" xfId="1" applyNumberFormat="1" applyFont="1" applyFill="1" applyBorder="1" applyAlignment="1">
      <alignment wrapText="1"/>
    </xf>
    <xf numFmtId="177" fontId="7" fillId="2" borderId="2" xfId="25" applyNumberFormat="1" applyFont="1" applyFill="1" applyBorder="1" applyAlignment="1">
      <alignment horizontal="center" vertical="center"/>
    </xf>
    <xf numFmtId="182" fontId="5" fillId="2" borderId="3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2" fontId="3" fillId="2" borderId="1" xfId="4" applyNumberFormat="1" applyFill="1" applyBorder="1"/>
    <xf numFmtId="2" fontId="9" fillId="4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183" fontId="3" fillId="0" borderId="3" xfId="4" applyNumberFormat="1" applyBorder="1"/>
    <xf numFmtId="183" fontId="6" fillId="0" borderId="3" xfId="1" applyNumberFormat="1" applyFont="1" applyBorder="1" applyAlignment="1">
      <alignment horizontal="center" wrapText="1"/>
    </xf>
    <xf numFmtId="0" fontId="2" fillId="5" borderId="3" xfId="4" applyFont="1" applyFill="1" applyBorder="1" applyAlignment="1">
      <alignment horizontal="center" wrapText="1"/>
    </xf>
    <xf numFmtId="178" fontId="3" fillId="0" borderId="3" xfId="4" applyNumberFormat="1" applyBorder="1"/>
    <xf numFmtId="0" fontId="3" fillId="0" borderId="3" xfId="4" applyBorder="1" applyAlignment="1">
      <alignment horizontal="center"/>
    </xf>
    <xf numFmtId="1" fontId="3" fillId="0" borderId="3" xfId="4" applyNumberFormat="1" applyBorder="1"/>
    <xf numFmtId="177" fontId="3" fillId="0" borderId="4" xfId="4" applyNumberFormat="1" applyBorder="1" applyAlignment="1">
      <alignment horizontal="center" wrapText="1"/>
    </xf>
    <xf numFmtId="185" fontId="16" fillId="0" borderId="3" xfId="26" applyNumberFormat="1" applyFont="1" applyBorder="1" applyAlignment="1">
      <alignment horizontal="center" vertical="center"/>
    </xf>
    <xf numFmtId="2" fontId="3" fillId="0" borderId="3" xfId="4" applyNumberFormat="1" applyBorder="1"/>
    <xf numFmtId="3" fontId="3" fillId="0" borderId="3" xfId="4" applyNumberFormat="1" applyBorder="1"/>
    <xf numFmtId="180" fontId="3" fillId="0" borderId="3" xfId="4" applyNumberFormat="1" applyBorder="1"/>
    <xf numFmtId="10" fontId="0" fillId="2" borderId="3" xfId="5" applyNumberFormat="1" applyFont="1" applyFill="1" applyBorder="1" applyAlignment="1"/>
    <xf numFmtId="10" fontId="3" fillId="2" borderId="3" xfId="4" applyNumberFormat="1" applyFill="1" applyBorder="1"/>
    <xf numFmtId="0" fontId="4" fillId="3" borderId="3" xfId="0" applyFont="1" applyFill="1" applyBorder="1"/>
  </cellXfs>
  <cellStyles count="27">
    <cellStyle name="Currency 2 2 2" xfId="8" xr:uid="{C2EF2C26-C451-44C1-B6BC-05E871A7681D}"/>
    <cellStyle name="Normal 1 2" xfId="20" xr:uid="{95A1E287-037A-4264-9403-A58E8EB4F90E}"/>
    <cellStyle name="Normal 2" xfId="4" xr:uid="{A726E472-5091-4176-87EE-43E00D126BFD}"/>
    <cellStyle name="Normal 2 18 2" xfId="1" xr:uid="{1BA08453-9F65-454B-A4A0-7177E70831F2}"/>
    <cellStyle name="Normal 3 2 15" xfId="19" xr:uid="{69B78EE6-AAE5-4F0B-A31A-347086751A04}"/>
    <cellStyle name="Normal 35" xfId="6" xr:uid="{0C70E6D3-78F0-4522-8A03-1830168E43CB}"/>
    <cellStyle name="Normal 52" xfId="17" xr:uid="{03907157-7043-4107-A7C2-FFCB223AB12E}"/>
    <cellStyle name="Percent 17" xfId="18" xr:uid="{9C13713B-A77B-450E-AD27-65CBAFD56376}"/>
    <cellStyle name="Percent 2" xfId="5" xr:uid="{832D11BF-67D6-4668-B213-728A38DC2251}"/>
    <cellStyle name="Percent 2 2 2" xfId="7" xr:uid="{440AF2CE-86DB-4897-867E-BEC824EF2DDA}"/>
    <cellStyle name="Style 1" xfId="3" xr:uid="{F4609D05-B161-47A5-8040-F8D4BA086F06}"/>
    <cellStyle name="百分比 2" xfId="11" xr:uid="{AAB81BF9-3633-4687-B4BD-F84D6266D2E7}"/>
    <cellStyle name="百分比 2 2" xfId="13" xr:uid="{510E69BC-969E-4110-B6A3-38ABFE402DE4}"/>
    <cellStyle name="百分比 3" xfId="22" xr:uid="{E2A6E185-96C0-477A-833B-5D1903C1F029}"/>
    <cellStyle name="百分比 5" xfId="15" xr:uid="{98339099-D6B4-42D1-9825-9AE2D02233A3}"/>
    <cellStyle name="常规" xfId="0" builtinId="0"/>
    <cellStyle name="常规 18" xfId="12" xr:uid="{7DAF87A7-BE8C-417B-9DA3-0D819854FD57}"/>
    <cellStyle name="常规 2" xfId="10" xr:uid="{8DF9EF39-64F7-4980-96E0-392C65DFB381}"/>
    <cellStyle name="常规 3" xfId="23" xr:uid="{7778F53C-4199-4B84-B81E-7103E955B953}"/>
    <cellStyle name="常规 50" xfId="26" xr:uid="{7D95F6AE-D778-4080-A4AE-4DC25E102356}"/>
    <cellStyle name="货币" xfId="25" builtinId="4"/>
    <cellStyle name="货币 2" xfId="21" xr:uid="{99892267-8814-4D30-88F9-2F8EB401A3EE}"/>
    <cellStyle name="货币 3" xfId="24" xr:uid="{3665B81A-EA51-4979-9CB3-F1723676F0B6}"/>
    <cellStyle name="千位分隔 4" xfId="14" xr:uid="{663C9722-A668-45C1-8EEE-247E720C953A}"/>
    <cellStyle name="样式 1 2" xfId="2" xr:uid="{DC9B73B6-A1E9-48DB-83A0-64D6E1D16DDF}"/>
    <cellStyle name="样式 1 2 2" xfId="16" xr:uid="{861BB0F5-1714-495A-B216-B4A191370F44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T3"/>
  <sheetViews>
    <sheetView tabSelected="1" zoomScaleNormal="100" workbookViewId="0">
      <selection activeCell="C14" sqref="C14"/>
    </sheetView>
  </sheetViews>
  <sheetFormatPr defaultColWidth="9.140625" defaultRowHeight="15"/>
  <cols>
    <col min="1" max="1" width="10.140625" style="1" customWidth="1"/>
    <col min="2" max="2" width="10" style="2" customWidth="1"/>
    <col min="3" max="3" width="12.42578125" style="2" customWidth="1"/>
    <col min="4" max="4" width="12.85546875" style="2" customWidth="1"/>
    <col min="5" max="5" width="9.140625" style="2" customWidth="1"/>
    <col min="6" max="6" width="15.5703125" style="2" customWidth="1"/>
    <col min="7" max="7" width="9.140625" style="2" customWidth="1"/>
    <col min="8" max="8" width="19.42578125" style="2" customWidth="1"/>
    <col min="9" max="9" width="21" style="2" customWidth="1"/>
    <col min="10" max="10" width="11.140625" style="2" customWidth="1"/>
    <col min="11" max="11" width="12.42578125" style="2" customWidth="1"/>
    <col min="12" max="12" width="18" style="2" customWidth="1"/>
    <col min="13" max="13" width="6.85546875" style="2" customWidth="1"/>
    <col min="14" max="16" width="8.85546875" style="2" customWidth="1"/>
    <col min="17" max="17" width="8.85546875" style="5" customWidth="1"/>
    <col min="18" max="18" width="11.140625" style="5" customWidth="1"/>
    <col min="19" max="19" width="9.42578125" style="2" customWidth="1"/>
    <col min="20" max="20" width="11.7109375" style="30" customWidth="1"/>
    <col min="21" max="21" width="8.140625" style="32" customWidth="1"/>
    <col min="22" max="23" width="8.7109375" style="29" customWidth="1"/>
    <col min="24" max="24" width="12.42578125" style="32" customWidth="1"/>
    <col min="25" max="25" width="9.85546875" style="32" customWidth="1"/>
    <col min="26" max="26" width="9" style="32" customWidth="1"/>
    <col min="27" max="27" width="6.28515625" style="30" customWidth="1"/>
    <col min="28" max="28" width="11.42578125" style="29" customWidth="1"/>
    <col min="29" max="29" width="9.85546875" style="30" customWidth="1"/>
    <col min="30" max="31" width="7.85546875" style="2" customWidth="1"/>
    <col min="32" max="32" width="9" style="32" customWidth="1"/>
    <col min="33" max="33" width="9" style="30" customWidth="1"/>
    <col min="34" max="34" width="9" style="29" customWidth="1"/>
    <col min="35" max="35" width="10" style="39" customWidth="1"/>
    <col min="36" max="36" width="9" style="32" customWidth="1"/>
    <col min="37" max="37" width="9" style="30" customWidth="1"/>
    <col min="38" max="38" width="9" style="29" customWidth="1"/>
    <col min="39" max="39" width="10" style="39" customWidth="1"/>
    <col min="40" max="40" width="9" style="5" customWidth="1"/>
    <col min="41" max="41" width="14.140625" style="2" customWidth="1"/>
    <col min="42" max="42" width="8.42578125" style="4" customWidth="1"/>
    <col min="43" max="43" width="10.7109375" style="5" customWidth="1"/>
    <col min="44" max="44" width="11.28515625" style="5" customWidth="1"/>
    <col min="45" max="45" width="11.5703125" style="5" customWidth="1"/>
    <col min="46" max="46" width="8.28515625" style="5" customWidth="1"/>
    <col min="47" max="47" width="11.5703125" style="4" customWidth="1"/>
    <col min="48" max="48" width="10.85546875" style="5" customWidth="1"/>
    <col min="49" max="49" width="8.140625" style="4" customWidth="1"/>
    <col min="50" max="50" width="9.140625" style="5" customWidth="1"/>
    <col min="51" max="51" width="8.140625" style="4" customWidth="1"/>
    <col min="52" max="52" width="9.28515625" style="5" customWidth="1"/>
    <col min="53" max="53" width="6.85546875" style="5" customWidth="1"/>
    <col min="54" max="54" width="9.140625" style="5" customWidth="1"/>
    <col min="55" max="55" width="7.42578125" style="5" customWidth="1"/>
    <col min="56" max="56" width="7.7109375" style="5" customWidth="1"/>
    <col min="57" max="57" width="11.42578125" style="5" customWidth="1"/>
    <col min="58" max="58" width="11.85546875" style="2" customWidth="1"/>
    <col min="59" max="59" width="11.28515625" style="34" customWidth="1"/>
    <col min="60" max="60" width="9.85546875" style="5" customWidth="1"/>
    <col min="61" max="61" width="15" style="4" customWidth="1"/>
    <col min="62" max="62" width="10.140625" style="5" customWidth="1"/>
    <col min="63" max="63" width="8.85546875" style="5" customWidth="1"/>
    <col min="64" max="64" width="10.85546875" style="5" customWidth="1"/>
    <col min="65" max="65" width="8.140625" style="4" customWidth="1"/>
    <col min="66" max="67" width="10.42578125" style="5" customWidth="1"/>
    <col min="68" max="68" width="12.42578125" style="2" customWidth="1"/>
    <col min="69" max="69" width="10.42578125" style="2" customWidth="1"/>
    <col min="70" max="70" width="9.5703125" style="2" customWidth="1"/>
    <col min="71" max="71" width="13.42578125" style="2" customWidth="1"/>
    <col min="72" max="72" width="13.42578125" style="4" customWidth="1"/>
    <col min="73" max="16384" width="9.140625" style="2"/>
  </cols>
  <sheetData>
    <row r="1" spans="1:72" ht="57.95" customHeight="1">
      <c r="A1" s="6" t="s">
        <v>7</v>
      </c>
      <c r="B1" s="6" t="s">
        <v>8</v>
      </c>
      <c r="C1" s="7" t="s">
        <v>9</v>
      </c>
      <c r="D1" s="8" t="s">
        <v>1</v>
      </c>
      <c r="E1" s="8" t="s">
        <v>3</v>
      </c>
      <c r="F1" s="9" t="s">
        <v>10</v>
      </c>
      <c r="G1" s="7" t="s">
        <v>11</v>
      </c>
      <c r="H1" s="10" t="s">
        <v>12</v>
      </c>
      <c r="I1" s="10" t="s">
        <v>13</v>
      </c>
      <c r="J1" s="10" t="s">
        <v>14</v>
      </c>
      <c r="K1" s="40" t="s">
        <v>45</v>
      </c>
      <c r="L1" s="10" t="s">
        <v>15</v>
      </c>
      <c r="M1" s="10" t="s">
        <v>16</v>
      </c>
      <c r="N1" s="7" t="s">
        <v>44</v>
      </c>
      <c r="O1" s="7" t="s">
        <v>17</v>
      </c>
      <c r="P1" s="7" t="s">
        <v>18</v>
      </c>
      <c r="Q1" s="7" t="s">
        <v>42</v>
      </c>
      <c r="R1" s="63" t="s">
        <v>77</v>
      </c>
      <c r="S1" s="10" t="s">
        <v>19</v>
      </c>
      <c r="T1" s="13" t="s">
        <v>39</v>
      </c>
      <c r="U1" s="43" t="s">
        <v>41</v>
      </c>
      <c r="V1" s="59" t="s">
        <v>71</v>
      </c>
      <c r="W1" s="44" t="s">
        <v>48</v>
      </c>
      <c r="X1" s="57" t="s">
        <v>47</v>
      </c>
      <c r="Y1" s="11" t="s">
        <v>2</v>
      </c>
      <c r="Z1" s="31" t="s">
        <v>20</v>
      </c>
      <c r="AA1" s="31" t="s">
        <v>21</v>
      </c>
      <c r="AB1" s="31" t="s">
        <v>22</v>
      </c>
      <c r="AC1" s="13" t="s">
        <v>23</v>
      </c>
      <c r="AD1" s="37" t="s">
        <v>24</v>
      </c>
      <c r="AE1" s="62" t="s">
        <v>76</v>
      </c>
      <c r="AF1" s="31" t="s">
        <v>72</v>
      </c>
      <c r="AG1" s="31" t="s">
        <v>73</v>
      </c>
      <c r="AH1" s="31" t="s">
        <v>74</v>
      </c>
      <c r="AI1" s="12" t="s">
        <v>75</v>
      </c>
      <c r="AJ1" s="31" t="s">
        <v>49</v>
      </c>
      <c r="AK1" s="31" t="s">
        <v>50</v>
      </c>
      <c r="AL1" s="31" t="s">
        <v>51</v>
      </c>
      <c r="AM1" s="12" t="s">
        <v>52</v>
      </c>
      <c r="AN1" s="14" t="s">
        <v>25</v>
      </c>
      <c r="AO1" s="15" t="s">
        <v>26</v>
      </c>
      <c r="AP1" s="6" t="s">
        <v>27</v>
      </c>
      <c r="AQ1" s="16" t="s">
        <v>28</v>
      </c>
      <c r="AR1" s="6" t="s">
        <v>29</v>
      </c>
      <c r="AS1" s="17" t="s">
        <v>30</v>
      </c>
      <c r="AT1" s="18" t="s">
        <v>31</v>
      </c>
      <c r="AU1" s="16" t="s">
        <v>32</v>
      </c>
      <c r="AV1" s="17" t="s">
        <v>33</v>
      </c>
      <c r="AW1" s="16" t="s">
        <v>34</v>
      </c>
      <c r="AX1" s="17" t="s">
        <v>35</v>
      </c>
      <c r="AY1" s="16" t="s">
        <v>36</v>
      </c>
      <c r="AZ1" s="17" t="s">
        <v>58</v>
      </c>
      <c r="BA1" s="16" t="s">
        <v>57</v>
      </c>
      <c r="BB1" s="33" t="s">
        <v>54</v>
      </c>
      <c r="BC1" s="17" t="s">
        <v>55</v>
      </c>
      <c r="BD1" s="16" t="s">
        <v>56</v>
      </c>
      <c r="BE1" s="16" t="s">
        <v>37</v>
      </c>
      <c r="BF1" s="35" t="s">
        <v>38</v>
      </c>
      <c r="BG1" s="19" t="s">
        <v>43</v>
      </c>
      <c r="BH1" s="60" t="s">
        <v>59</v>
      </c>
      <c r="BI1" s="47" t="s">
        <v>61</v>
      </c>
      <c r="BJ1" s="16" t="s">
        <v>62</v>
      </c>
      <c r="BK1" s="49" t="s">
        <v>63</v>
      </c>
      <c r="BL1" s="35" t="s">
        <v>64</v>
      </c>
      <c r="BM1" s="19" t="s">
        <v>65</v>
      </c>
      <c r="BN1" s="52" t="s">
        <v>60</v>
      </c>
      <c r="BO1" s="51"/>
      <c r="BP1" s="54" t="s">
        <v>66</v>
      </c>
      <c r="BQ1" s="55" t="s">
        <v>68</v>
      </c>
      <c r="BR1" s="54" t="s">
        <v>67</v>
      </c>
      <c r="BS1" s="55" t="s">
        <v>70</v>
      </c>
      <c r="BT1" s="56" t="s">
        <v>69</v>
      </c>
    </row>
    <row r="2" spans="1:72" s="28" customFormat="1">
      <c r="A2" s="20">
        <v>1</v>
      </c>
      <c r="B2" s="21"/>
      <c r="C2" s="21"/>
      <c r="D2" s="36" t="s">
        <v>5</v>
      </c>
      <c r="E2" s="36"/>
      <c r="F2" s="36" t="s">
        <v>40</v>
      </c>
      <c r="G2" s="64" t="s">
        <v>78</v>
      </c>
      <c r="H2" s="36" t="s">
        <v>79</v>
      </c>
      <c r="I2" s="36" t="s">
        <v>46</v>
      </c>
      <c r="J2" s="65" t="s">
        <v>80</v>
      </c>
      <c r="K2" s="36" t="s">
        <v>81</v>
      </c>
      <c r="L2" s="36" t="s">
        <v>82</v>
      </c>
      <c r="M2" s="36" t="s">
        <v>83</v>
      </c>
      <c r="N2" s="36"/>
      <c r="O2" s="74" t="s">
        <v>85</v>
      </c>
      <c r="P2" s="42"/>
      <c r="Q2" s="21"/>
      <c r="R2" s="36" t="s">
        <v>0</v>
      </c>
      <c r="S2" s="36" t="s">
        <v>6</v>
      </c>
      <c r="T2" s="66">
        <v>250</v>
      </c>
      <c r="U2" s="67">
        <v>50.82</v>
      </c>
      <c r="V2" s="58">
        <f>IF(W2="","",X2*W2)</f>
        <v>411.64</v>
      </c>
      <c r="W2" s="45">
        <v>8.1</v>
      </c>
      <c r="X2" s="27">
        <v>50.82</v>
      </c>
      <c r="Y2" s="21" t="s">
        <v>4</v>
      </c>
      <c r="Z2" s="68">
        <v>48</v>
      </c>
      <c r="AA2" s="68">
        <v>38</v>
      </c>
      <c r="AB2" s="68">
        <v>56</v>
      </c>
      <c r="AC2" s="68">
        <v>4</v>
      </c>
      <c r="AD2" s="38">
        <f t="shared" ref="AD2:AD3" si="0">IF(Z2="","",Z2*AA2*AB2/1000000)</f>
        <v>0.10199999999999999</v>
      </c>
      <c r="AE2" s="61" t="s">
        <v>0</v>
      </c>
      <c r="AF2" s="68">
        <v>17</v>
      </c>
      <c r="AG2" s="68">
        <v>13</v>
      </c>
      <c r="AH2" s="68">
        <v>5</v>
      </c>
      <c r="AI2" s="69">
        <v>2.2999999999999998</v>
      </c>
      <c r="AJ2" s="68">
        <v>17</v>
      </c>
      <c r="AK2" s="68">
        <v>13</v>
      </c>
      <c r="AL2" s="68">
        <v>5</v>
      </c>
      <c r="AM2" s="69">
        <v>5</v>
      </c>
      <c r="AN2" s="22">
        <v>65</v>
      </c>
      <c r="AO2" s="23">
        <f t="shared" ref="AO2:AO3" si="1">IF(AC2="","",AN2/AD2*AC2)</f>
        <v>2549</v>
      </c>
      <c r="AP2" s="70">
        <v>13975</v>
      </c>
      <c r="AQ2" s="24">
        <f>IF(ISERROR(AP2/AO2),"",AP2/AO2)</f>
        <v>5.48</v>
      </c>
      <c r="AR2" s="36" t="s">
        <v>53</v>
      </c>
      <c r="AS2" s="71">
        <f>6.7%+20%</f>
        <v>0.26700000000000002</v>
      </c>
      <c r="AT2" s="24">
        <f>IF(ISERROR(X2*AS2),"",X2*AS2)</f>
        <v>13.57</v>
      </c>
      <c r="AU2" s="24">
        <f>IF(ISERROR(X2+AQ2+AT2),"",X2+AQ2+AT2)</f>
        <v>69.87</v>
      </c>
      <c r="AV2" s="25">
        <v>0.1</v>
      </c>
      <c r="AW2" s="24">
        <f>IF(ISERROR(BH2*AV2),"",BH2*AV2)</f>
        <v>16.5</v>
      </c>
      <c r="AX2" s="25">
        <v>0.15</v>
      </c>
      <c r="AY2" s="24">
        <f>IF(ISERROR(BH2*AX2),"",BH2*AX2)</f>
        <v>24.75</v>
      </c>
      <c r="AZ2" s="25">
        <v>0.1</v>
      </c>
      <c r="BA2" s="24">
        <f>IF(ISERROR(BH2*AZ2),"",BH2*AZ2)</f>
        <v>16.5</v>
      </c>
      <c r="BB2" s="27"/>
      <c r="BC2" s="25">
        <v>0</v>
      </c>
      <c r="BD2" s="24">
        <f>IF(ISERROR(BH2*BC2),"",BH2*BC2)</f>
        <v>0</v>
      </c>
      <c r="BE2" s="24">
        <f>IF(ISERROR(AW2+AY2+BA2+BD2),"",AW2+AY2+BA2+BD2)</f>
        <v>57.75</v>
      </c>
      <c r="BF2" s="24">
        <f t="shared" ref="BF2:BF3" si="2">IF(ISERROR(AU2+BE2),"",AU2+BE2)</f>
        <v>127.62</v>
      </c>
      <c r="BG2" s="26">
        <f t="shared" ref="BG2:BG3" si="3">IF(ISERROR((BH2-BF2)/BH2),"",(BH2-BF2)/BH2)</f>
        <v>0.22650000000000001</v>
      </c>
      <c r="BH2" s="24">
        <f>IF(BN2="","",BN2*(1-45%))</f>
        <v>164.99</v>
      </c>
      <c r="BI2" s="48">
        <v>0.3</v>
      </c>
      <c r="BJ2" s="24">
        <f>IF(BI2="","",BN2*BI2)</f>
        <v>90</v>
      </c>
      <c r="BK2" s="41">
        <v>15</v>
      </c>
      <c r="BL2" s="24">
        <f>IF(ISERROR(BF2+BJ2+BK2),"",BF2+BJ2+BK2)</f>
        <v>232.62</v>
      </c>
      <c r="BM2" s="50">
        <f>IF(BN2="","",(BN2-BL2)/BN2)</f>
        <v>0.22459999999999999</v>
      </c>
      <c r="BN2" s="41">
        <v>299.99</v>
      </c>
      <c r="BO2" s="3"/>
      <c r="BP2" s="46">
        <f>BH2</f>
        <v>164.99</v>
      </c>
      <c r="BQ2" s="53">
        <f>IF(BR2="","",CEILING(BR2/0.9 - 0.01, 10) - 0.01)</f>
        <v>339.99</v>
      </c>
      <c r="BR2" s="46">
        <f>IF(BN2="","",BN2)</f>
        <v>299.99</v>
      </c>
      <c r="BS2" s="50">
        <f>IF(BP2="","",(BP2-AU2)/BP2)</f>
        <v>0.57650000000000001</v>
      </c>
      <c r="BT2" s="50">
        <f>IF(BQ2="","",(BQ2-BP2)/BQ2)</f>
        <v>0.51470000000000005</v>
      </c>
    </row>
    <row r="3" spans="1:72" s="28" customFormat="1">
      <c r="A3" s="20">
        <v>2</v>
      </c>
      <c r="B3" s="21"/>
      <c r="C3" s="21"/>
      <c r="D3" s="36" t="s">
        <v>5</v>
      </c>
      <c r="E3" s="36"/>
      <c r="F3" s="36" t="s">
        <v>40</v>
      </c>
      <c r="G3" s="64" t="s">
        <v>78</v>
      </c>
      <c r="H3" s="36" t="s">
        <v>79</v>
      </c>
      <c r="I3" s="36" t="s">
        <v>46</v>
      </c>
      <c r="J3" s="65" t="s">
        <v>80</v>
      </c>
      <c r="K3" s="36" t="s">
        <v>81</v>
      </c>
      <c r="L3" s="36" t="s">
        <v>84</v>
      </c>
      <c r="M3" s="36" t="s">
        <v>83</v>
      </c>
      <c r="N3" s="36"/>
      <c r="O3" s="74" t="s">
        <v>86</v>
      </c>
      <c r="P3" s="21"/>
      <c r="Q3" s="21"/>
      <c r="R3" s="36" t="s">
        <v>0</v>
      </c>
      <c r="S3" s="36" t="s">
        <v>6</v>
      </c>
      <c r="T3" s="66">
        <v>250</v>
      </c>
      <c r="U3" s="67">
        <v>58.96</v>
      </c>
      <c r="V3" s="58">
        <f>IF(W3="","",X3*W3)</f>
        <v>477.58</v>
      </c>
      <c r="W3" s="45">
        <v>8.1</v>
      </c>
      <c r="X3" s="27">
        <v>58.96</v>
      </c>
      <c r="Y3" s="21" t="s">
        <v>4</v>
      </c>
      <c r="Z3" s="68">
        <v>48</v>
      </c>
      <c r="AA3" s="68">
        <v>38</v>
      </c>
      <c r="AB3" s="68">
        <v>66</v>
      </c>
      <c r="AC3" s="68">
        <v>4</v>
      </c>
      <c r="AD3" s="38">
        <f t="shared" si="0"/>
        <v>0.12</v>
      </c>
      <c r="AE3" s="61" t="s">
        <v>0</v>
      </c>
      <c r="AF3" s="68">
        <v>17</v>
      </c>
      <c r="AG3" s="68">
        <v>13</v>
      </c>
      <c r="AH3" s="68">
        <v>6</v>
      </c>
      <c r="AI3" s="69">
        <v>2.68</v>
      </c>
      <c r="AJ3" s="68">
        <v>17</v>
      </c>
      <c r="AK3" s="68">
        <v>13</v>
      </c>
      <c r="AL3" s="68">
        <v>6</v>
      </c>
      <c r="AM3" s="69">
        <v>5.9</v>
      </c>
      <c r="AN3" s="22">
        <v>65</v>
      </c>
      <c r="AO3" s="23">
        <f t="shared" si="1"/>
        <v>2167</v>
      </c>
      <c r="AP3" s="70">
        <v>13975</v>
      </c>
      <c r="AQ3" s="24">
        <f t="shared" ref="AQ3" si="4">IF(ISERROR(AP3/AO3),"",AP3/AO3)</f>
        <v>6.45</v>
      </c>
      <c r="AR3" s="36" t="s">
        <v>53</v>
      </c>
      <c r="AS3" s="71">
        <f>6.7%+20%</f>
        <v>0.26700000000000002</v>
      </c>
      <c r="AT3" s="24">
        <f t="shared" ref="AT3" si="5">IF(ISERROR(X3*AS3),"",X3*AS3)</f>
        <v>15.74</v>
      </c>
      <c r="AU3" s="24">
        <f t="shared" ref="AU3" si="6">IF(ISERROR(X3+AQ3+AT3),"",X3+AQ3+AT3)</f>
        <v>81.150000000000006</v>
      </c>
      <c r="AV3" s="48">
        <v>0.1</v>
      </c>
      <c r="AW3" s="46">
        <f>IF(ISERROR(BH3*AV3),"",BH3*AV3)</f>
        <v>18.149999999999999</v>
      </c>
      <c r="AX3" s="48">
        <v>0.15</v>
      </c>
      <c r="AY3" s="46">
        <f>IF(ISERROR(BH3*AX3),"",BH3*AX3)</f>
        <v>27.22</v>
      </c>
      <c r="AZ3" s="48">
        <v>0.1</v>
      </c>
      <c r="BA3" s="46">
        <f>IF(ISERROR(BH3*AZ3),"",BH3*AZ3)</f>
        <v>18.149999999999999</v>
      </c>
      <c r="BB3" s="41"/>
      <c r="BC3" s="48">
        <v>0</v>
      </c>
      <c r="BD3" s="46">
        <f>IF(ISERROR(BH3*BC3),"",BH3*BC3)</f>
        <v>0</v>
      </c>
      <c r="BE3" s="46">
        <f>IF(ISERROR(AW3+AY3+BA3+BD3),"",AW3+AY3+BA3+BD3)</f>
        <v>63.52</v>
      </c>
      <c r="BF3" s="46">
        <f t="shared" si="2"/>
        <v>144.66999999999999</v>
      </c>
      <c r="BG3" s="72">
        <f t="shared" si="3"/>
        <v>0.2029</v>
      </c>
      <c r="BH3" s="46">
        <f>IF(BN3="","",BN3*(1-45%))</f>
        <v>181.49</v>
      </c>
      <c r="BI3" s="48">
        <v>0.3</v>
      </c>
      <c r="BJ3" s="46">
        <f>IF(BI3="","",BN3*BI3)</f>
        <v>99</v>
      </c>
      <c r="BK3" s="41">
        <v>15</v>
      </c>
      <c r="BL3" s="46">
        <f>IF(ISERROR(BF3+BJ3+BK3),"",BF3+BJ3+BK3)</f>
        <v>258.67</v>
      </c>
      <c r="BM3" s="73">
        <f>IF(BN3="","",(BN3-BL3)/BN3)</f>
        <v>0.21609999999999999</v>
      </c>
      <c r="BN3" s="41">
        <v>329.99</v>
      </c>
      <c r="BO3" s="3"/>
      <c r="BP3" s="46">
        <f t="shared" ref="BP3" si="7">BH3</f>
        <v>181.49</v>
      </c>
      <c r="BQ3" s="53">
        <f t="shared" ref="BQ3" si="8">IF(BR3="","",CEILING(BR3/0.9 - 0.01, 10) - 0.01)</f>
        <v>369.99</v>
      </c>
      <c r="BR3" s="46">
        <f t="shared" ref="BR3" si="9">IF(BN3="","",BN3)</f>
        <v>329.99</v>
      </c>
      <c r="BS3" s="50">
        <f t="shared" ref="BS3" si="10">IF(BP3="","",(BP3-AU3)/BP3)</f>
        <v>0.55289999999999995</v>
      </c>
      <c r="BT3" s="50">
        <f t="shared" ref="BT3" si="11">IF(BQ3="","",(BQ3-BP3)/BQ3)</f>
        <v>0.50949999999999995</v>
      </c>
    </row>
  </sheetData>
  <sheetProtection insertRows="0" deleteRows="0" sort="0"/>
  <protectedRanges>
    <protectedRange sqref="N2:N3 A2:B39 D4:E39 V2:Y3 AN2:AO3 P2:R3 AT2:BK2 AD2:AE3 BM2 F4:S38 U4:BE38 AT3:AU3 AQ2:AQ3 C2:C38" name="Range1"/>
    <protectedRange sqref="D2:J3" name="Range1_5"/>
    <protectedRange sqref="K2:K3" name="Range1_1_1"/>
    <protectedRange sqref="L2:M3" name="Range1_8"/>
    <protectedRange sqref="S2:S3" name="Range1_9"/>
    <protectedRange sqref="T2:T3" name="Range1_6_2"/>
    <protectedRange sqref="AI2:AI3" name="Range1_2_1"/>
    <protectedRange sqref="AM2:AM3" name="Range1_2_2"/>
    <protectedRange sqref="AP2:AP3" name="Range1_3_2"/>
    <protectedRange sqref="AR2:AS3" name="Range1_4_1"/>
    <protectedRange sqref="AV3:BK3 BM3" name="Range1_13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2EC859C-B984-4A37-9A10-C65138758A82}">
          <x14:formula1>
            <xm:f>#REF!</xm:f>
          </x14:formula1>
          <xm:sqref>Y2:Y3</xm:sqref>
        </x14:dataValidation>
        <x14:dataValidation type="list" allowBlank="1" showInputMessage="1" showErrorMessage="1" xr:uid="{9B4C25FF-A95D-4250-9857-2A66390DF785}">
          <x14:formula1>
            <xm:f>#REF!</xm:f>
          </x14:formula1>
          <xm:sqref>AE2:AE3 R2:R3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2025-11-14T04:05:25Z</dcterms:modified>
</cp:coreProperties>
</file>