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BE381BD-DD06-405E-9D1B-668E5391D896}" xr6:coauthVersionLast="47" xr6:coauthVersionMax="47" xr10:uidLastSave="{00000000-0000-0000-0000-000000000000}"/>
  <bookViews>
    <workbookView xWindow="-110" yWindow="-110" windowWidth="19420" windowHeight="10300" xr2:uid="{EE6F12A0-8576-4A6A-9537-A9BCD44E0F54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K2" i="1" s="1"/>
  <c r="BD2" i="1"/>
  <c r="BB2" i="1"/>
  <c r="AU2" i="1" s="1"/>
  <c r="AN2" i="1"/>
  <c r="AC2" i="1"/>
  <c r="AI2" i="1" s="1"/>
  <c r="AK2" i="1" s="1"/>
  <c r="U2" i="1"/>
  <c r="AO2" i="1" l="1"/>
  <c r="AS2" i="1"/>
  <c r="AQ2" i="1"/>
  <c r="BJ2" i="1"/>
  <c r="BN2" i="1" s="1"/>
  <c r="AX2" i="1"/>
  <c r="BM2" i="1" l="1"/>
  <c r="AY2" i="1"/>
  <c r="AZ2" i="1" s="1"/>
  <c r="BF2" i="1" l="1"/>
  <c r="BG2" i="1" s="1"/>
  <c r="B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8A150FD-0B26-4324-B14B-9506DB6D650B}">
      <text>
        <r>
          <rPr>
            <sz val="11"/>
            <rFont val="Calibri"/>
            <family val="2"/>
          </rPr>
          <t>[FOB Cost (Value)]*[Exchange Rate]</t>
        </r>
      </text>
    </comment>
    <comment ref="AC1" authorId="0" shapeId="0" xr:uid="{3A7DF1FC-BC3F-4666-BC3B-03B0E5015BA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34CEEF82-33DB-46DF-ACBF-8020A18E6E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2984F323-A006-4981-A352-DD0A94DC2A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3E18FA82-3017-4464-8A5A-843940D1E7F0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4BF41D91-AA04-4B39-9B41-4E8AFBD6E964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87FDDCA4-6AD9-4BB7-A789-A2F47AF525AD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C36A7954-4A79-4329-A316-0B7AE26054BE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67BBC9E-A212-4B86-AE1F-36BFD134764C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964C667B-40AA-46D4-9E20-685E957F9207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60DC2CCC-1802-4A88-A17F-424C19442881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D860D88B-53C8-476D-A0A8-4DFBF7A4897C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0054F5CF-57AF-49AA-A171-C70883444D2D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17B4BB0F-9B4D-41CB-B2D1-448FE1A82591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3971580-0E15-4E5F-9726-BC94E2DE5A0F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FB0A3F6F-A99B-417D-B327-EF622DEB8B4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47C288FE-9451-42EF-8418-751F1336BCAD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7DD3D141-771B-496A-A5E0-F35FD7EA2761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B825AD22-B988-45C7-B49D-36EB8BB35070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096FB1A2-6057-40B1-841C-3A0E2C368DDC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7094C122-9DD8-4F5E-BBD9-33506FE4F31E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D0475CA3-F0A4-43D6-A6E0-E45EF9156DE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<sst xmlns="http://schemas.openxmlformats.org/spreadsheetml/2006/main" count="79" uniqueCount="79">
  <si>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</si>
  <si>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</si>
  <si>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</si>
  <si>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</si>
  <si>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</si>
  <si>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</si>
  <si>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</si>
  <si>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</si>
  <si>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</si>
  <si>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</si>
  <si>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</si>
  <si>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</si>
  <si>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</si>
  <si>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</si>
  <si>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</si>
  <si>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</si>
  <si>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</si>
  <si>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</si>
  <si>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</si>
  <si>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</si>
  <si>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</si>
  <si>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</si>
  <si>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</si>
  <si>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</si>
  <si>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</si>
  <si>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</si>
  <si>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</si>
  <si>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</si>
  <si>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</si>
  <si>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Product Size L (in)</t>
  </si>
  <si>
    <t>Product Size W (in)</t>
  </si>
  <si>
    <t>Product Size H (in)</t>
  </si>
  <si>
    <t>Product Net Weight (lb)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</si>
  <si>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</si>
  <si>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</si>
  <si>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</si>
  <si>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</si>
  <si>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</si>
  <si>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</si>
  <si>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</si>
  <si>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</si>
  <si>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</si>
  <si>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</si>
  <si>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</si>
  <si>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</si>
  <si>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</si>
  <si>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</si>
  <si>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</si>
  <si>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</si>
  <si>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</si>
  <si>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</si>
  <si>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</si>
  <si>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</si>
  <si>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</si>
  <si>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</si>
  <si>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</si>
  <si>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</si>
  <si>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</si>
  <si>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</si>
  <si>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</si>
  <si>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Customer Cost</t>
  </si>
  <si>
    <t>Suggested Retail Price</t>
  </si>
  <si>
    <t>MAP $</t>
  </si>
  <si>
    <t>Load % + Margin %</t>
  </si>
  <si>
    <t>Retailer Markup %</t>
  </si>
  <si>
    <t>Harbor House</t>
  </si>
  <si>
    <t>DUVET&amp;DUVET SET</t>
  </si>
  <si>
    <t>Botanical</t>
  </si>
  <si>
    <t>Leaves Duvet Mini Set</t>
  </si>
  <si>
    <t>Duvet Mini Set</t>
  </si>
  <si>
    <t>Duvet:  T300 cotton sateen face and back(imported cotton)+  reactive print, 60*40/173*120,100%cotton. Knife edge on three sides,2" self hem on the bottom with HH buttons, 9 HH shell buttons for Q and K HH shell buttons for K. 2*10" HH logo tie on the corners. HH label+care label+U cardboard+thanks card+HH hangtag.Packing: folded with 1" chervon ribbon+degradable bag, put into a pizza box with 2pcs desiccant+product sticker+PE bag. case pack 4.                                                              sham: T300 cotton sateen face and back(imported cotton)+  reactive print(positioning and cutting), 60*40/173*120,100%cotton. 2" cut die, 6" open back and 5" overlap on the back.</t>
  </si>
  <si>
    <t>Cotton Sateen</t>
  </si>
  <si>
    <t>Full/Queen:90x94“  /20*26+2"--1pair</t>
  </si>
  <si>
    <t>Terracotta/Linen</t>
  </si>
  <si>
    <t>HHD12-1951</t>
  </si>
  <si>
    <t>022164582512</t>
  </si>
  <si>
    <t>Piece</t>
  </si>
  <si>
    <t>Normal</t>
  </si>
  <si>
    <t>6302.31.9050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</si>
</sst>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2" applyAlignment="1">
      <alignment wrapText="1"/>
    </xf>
    <xf numFmtId="164" fontId="1" fillId="0" borderId="0" xfId="2" applyNumberFormat="1"/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167" fontId="1" fillId="0" borderId="0" xfId="2" applyNumberFormat="1" applyAlignment="1">
      <alignment wrapText="1"/>
    </xf>
    <xf numFmtId="0" fontId="1" fillId="0" borderId="0" xfId="2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wrapText="1"/>
    </xf>
    <xf numFmtId="0" fontId="3" fillId="6" borderId="1" xfId="2" applyFont="1" applyFill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164" fontId="3" fillId="2" borderId="1" xfId="2" applyNumberFormat="1" applyFont="1" applyFill="1" applyBorder="1" applyAlignment="1">
      <alignment wrapText="1"/>
    </xf>
    <xf numFmtId="2" fontId="5" fillId="2" borderId="1" xfId="4" applyNumberFormat="1" applyFont="1" applyFill="1" applyBorder="1" applyAlignment="1">
      <alignment wrapText="1"/>
    </xf>
    <xf numFmtId="2" fontId="3" fillId="2" borderId="1" xfId="2" applyNumberFormat="1" applyFont="1" applyFill="1" applyBorder="1" applyAlignment="1">
      <alignment wrapText="1"/>
    </xf>
    <xf numFmtId="164" fontId="6" fillId="7" borderId="1" xfId="4" applyNumberFormat="1" applyFont="1" applyFill="1" applyBorder="1" applyAlignment="1">
      <alignment wrapText="1"/>
    </xf>
    <xf numFmtId="0" fontId="4" fillId="0" borderId="1" xfId="2" applyFont="1" applyBorder="1" applyAlignment="1">
      <alignment horizontal="center" wrapText="1"/>
    </xf>
    <xf numFmtId="165" fontId="3" fillId="0" borderId="1" xfId="2" applyNumberFormat="1" applyFont="1" applyBorder="1" applyAlignment="1">
      <alignment horizontal="center" wrapText="1"/>
    </xf>
    <xf numFmtId="166" fontId="5" fillId="0" borderId="1" xfId="4" applyNumberFormat="1" applyFont="1" applyBorder="1" applyAlignment="1">
      <alignment wrapText="1"/>
    </xf>
    <xf numFmtId="2" fontId="3" fillId="0" borderId="1" xfId="2" applyNumberFormat="1" applyFont="1" applyBorder="1" applyAlignment="1">
      <alignment horizontal="center" wrapText="1"/>
    </xf>
    <xf numFmtId="2" fontId="6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64" fontId="5" fillId="0" borderId="1" xfId="4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4" fontId="5" fillId="6" borderId="1" xfId="4" applyNumberFormat="1" applyFont="1" applyFill="1" applyBorder="1" applyAlignment="1">
      <alignment wrapText="1"/>
    </xf>
    <xf numFmtId="164" fontId="6" fillId="0" borderId="1" xfId="4" applyNumberFormat="1" applyFont="1" applyBorder="1" applyAlignment="1">
      <alignment wrapText="1"/>
    </xf>
    <xf numFmtId="164" fontId="5" fillId="3" borderId="1" xfId="4" applyNumberFormat="1" applyFont="1" applyFill="1" applyBorder="1" applyAlignment="1">
      <alignment wrapText="1"/>
    </xf>
    <xf numFmtId="10" fontId="5" fillId="3" borderId="1" xfId="4" applyNumberFormat="1" applyFont="1" applyFill="1" applyBorder="1" applyAlignment="1">
      <alignment wrapText="1"/>
    </xf>
    <xf numFmtId="10" fontId="6" fillId="3" borderId="2" xfId="4" applyNumberFormat="1" applyFont="1" applyFill="1" applyBorder="1" applyAlignment="1">
      <alignment wrapText="1"/>
    </xf>
    <xf numFmtId="164" fontId="6" fillId="0" borderId="2" xfId="4" applyNumberFormat="1" applyFont="1" applyBorder="1" applyAlignment="1">
      <alignment wrapText="1"/>
    </xf>
    <xf numFmtId="164" fontId="6" fillId="3" borderId="1" xfId="4" applyNumberFormat="1" applyFont="1" applyFill="1" applyBorder="1" applyAlignment="1">
      <alignment wrapText="1"/>
    </xf>
    <xf numFmtId="164" fontId="6" fillId="0" borderId="0" xfId="4" applyNumberFormat="1" applyFont="1" applyAlignment="1">
      <alignment wrapText="1"/>
    </xf>
    <xf numFmtId="167" fontId="7" fillId="4" borderId="1" xfId="4" applyNumberFormat="1" applyFont="1" applyFill="1" applyBorder="1" applyAlignment="1">
      <alignment wrapText="1"/>
    </xf>
    <xf numFmtId="164" fontId="7" fillId="4" borderId="1" xfId="4" applyNumberFormat="1" applyFont="1" applyFill="1" applyBorder="1" applyAlignment="1">
      <alignment wrapText="1"/>
    </xf>
    <xf numFmtId="10" fontId="7" fillId="4" borderId="1" xfId="4" applyNumberFormat="1" applyFont="1" applyFill="1" applyBorder="1" applyAlignment="1">
      <alignment wrapText="1"/>
    </xf>
    <xf numFmtId="0" fontId="1" fillId="0" borderId="1" xfId="2" applyBorder="1" applyAlignment="1">
      <alignment horizontal="center"/>
    </xf>
    <xf numFmtId="0" fontId="1" fillId="0" borderId="1" xfId="2" applyBorder="1"/>
    <xf numFmtId="168" fontId="1" fillId="0" borderId="1" xfId="2" applyNumberFormat="1" applyBorder="1"/>
    <xf numFmtId="169" fontId="1" fillId="0" borderId="1" xfId="2" applyNumberFormat="1" applyBorder="1"/>
    <xf numFmtId="1" fontId="1" fillId="0" borderId="1" xfId="2" applyNumberFormat="1" applyBorder="1"/>
    <xf numFmtId="164" fontId="1" fillId="0" borderId="2" xfId="2" applyNumberFormat="1" applyBorder="1" applyAlignment="1">
      <alignment horizontal="center" wrapText="1"/>
    </xf>
    <xf numFmtId="2" fontId="1" fillId="4" borderId="1" xfId="2" applyNumberFormat="1" applyFill="1" applyBorder="1"/>
    <xf numFmtId="2" fontId="1" fillId="0" borderId="2" xfId="2" applyNumberFormat="1" applyBorder="1"/>
    <xf numFmtId="164" fontId="1" fillId="0" borderId="1" xfId="2" applyNumberFormat="1" applyBorder="1"/>
    <xf numFmtId="165" fontId="1" fillId="0" borderId="1" xfId="2" applyNumberFormat="1" applyBorder="1"/>
    <xf numFmtId="166" fontId="1" fillId="4" borderId="1" xfId="2" applyNumberFormat="1" applyFill="1" applyBorder="1"/>
    <xf numFmtId="2" fontId="1" fillId="0" borderId="1" xfId="2" applyNumberFormat="1" applyBorder="1"/>
    <xf numFmtId="1" fontId="1" fillId="4" borderId="1" xfId="2" applyNumberFormat="1" applyFill="1" applyBorder="1"/>
    <xf numFmtId="3" fontId="1" fillId="0" borderId="1" xfId="2" applyNumberFormat="1" applyBorder="1"/>
    <xf numFmtId="164" fontId="1" fillId="4" borderId="1" xfId="2" applyNumberFormat="1" applyFill="1" applyBorder="1"/>
    <xf numFmtId="170" fontId="1" fillId="0" borderId="1" xfId="2" applyNumberFormat="1" applyBorder="1"/>
    <xf numFmtId="10" fontId="1" fillId="0" borderId="1" xfId="2" applyNumberFormat="1" applyBorder="1"/>
    <xf numFmtId="10" fontId="0" fillId="4" borderId="1" xfId="5" applyNumberFormat="1" applyFont="1" applyFill="1" applyBorder="1" applyAlignment="1"/>
    <xf numFmtId="10" fontId="1" fillId="4" borderId="1" xfId="2" applyNumberFormat="1" applyFill="1" applyBorder="1"/>
    <xf numFmtId="164" fontId="8" fillId="4" borderId="3" xfId="1" applyNumberFormat="1" applyFont="1" applyFill="1" applyBorder="1" applyAlignment="1">
      <alignment horizontal="center" vertical="center"/>
    </xf>
    <xf numFmtId="0" fontId="1" fillId="0" borderId="0" xfId="2"/>
    <xf numFmtId="165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</cellXfs>
  <cellStyles count="6">
    <cellStyle name="Currency" xfId="1" builtinId="4"/>
    <cellStyle name="Normal" xfId="0" builtinId="0"/>
    <cellStyle name="Normal 2" xfId="2" xr:uid="{A6D1711A-D4D6-48C4-8062-ABC5064DAFC1}"/>
    <cellStyle name="Normal 2 18 2" xfId="4" xr:uid="{0FB70016-7476-47E4-B49B-18C62D0B4DCC}"/>
    <cellStyle name="Percent 2" xfId="5" xr:uid="{76CCEC85-825E-4FB5-AD79-D68DDAD2934E}"/>
    <cellStyle name="样式 1 2" xfId="3" xr:uid="{9A3BE5B1-E22B-4486-830E-04B6AA837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5%20HHL%20Domestic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5%20HHL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8D82-B9FB-4B38-9C02-0CD39B04E7BE}">
  <dimension ref="A1:BN2"/>
  <sheetViews>
    <sheetView tabSelected="1" zoomScaleNormal="100" workbookViewId="0">
      <selection activeCell="E7" sqref="E7"/>
    </sheetView>
  </sheetViews>
  <sheetFormatPr defaultColWidth="9.1796875" defaultRowHeight="14.5" x14ac:dyDescent="0.35"/>
  <cols>
    <col min="1" max="1" width="10.1796875" style="7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5" customWidth="1"/>
    <col min="18" max="18" width="9.453125" style="1" customWidth="1"/>
    <col min="19" max="19" width="11.7265625" style="3" customWidth="1"/>
    <col min="20" max="20" width="8.1796875" style="58" customWidth="1"/>
    <col min="21" max="22" width="8.7265625" style="59" customWidth="1"/>
    <col min="23" max="23" width="12.36328125" style="58" customWidth="1"/>
    <col min="24" max="24" width="9.81640625" style="58" customWidth="1"/>
    <col min="25" max="25" width="9" style="58" customWidth="1"/>
    <col min="26" max="26" width="6.26953125" style="3" customWidth="1"/>
    <col min="27" max="27" width="11.453125" style="59" customWidth="1"/>
    <col min="28" max="28" width="9.81640625" style="3" customWidth="1"/>
    <col min="29" max="29" width="7.81640625" style="1" customWidth="1"/>
    <col min="30" max="30" width="9" style="58" customWidth="1"/>
    <col min="31" max="31" width="9" style="3" customWidth="1"/>
    <col min="32" max="32" width="9" style="59" customWidth="1"/>
    <col min="33" max="33" width="10" style="60" customWidth="1"/>
    <col min="34" max="34" width="9" style="5" customWidth="1"/>
    <col min="35" max="35" width="14.1796875" style="1" customWidth="1"/>
    <col min="36" max="36" width="8.453125" style="4" customWidth="1"/>
    <col min="37" max="37" width="10.7265625" style="5" customWidth="1"/>
    <col min="38" max="38" width="11.26953125" style="5" customWidth="1"/>
    <col min="39" max="39" width="11.54296875" style="5" customWidth="1"/>
    <col min="40" max="40" width="8.26953125" style="5" customWidth="1"/>
    <col min="41" max="41" width="11.54296875" style="4" customWidth="1"/>
    <col min="42" max="42" width="10.81640625" style="5" customWidth="1"/>
    <col min="43" max="43" width="8.1796875" style="4" customWidth="1"/>
    <col min="44" max="44" width="9.1796875" style="5" customWidth="1"/>
    <col min="45" max="45" width="8.1796875" style="4" customWidth="1"/>
    <col min="46" max="46" width="9.26953125" style="5" customWidth="1"/>
    <col min="47" max="47" width="6.90625" style="5" customWidth="1"/>
    <col min="48" max="48" width="9.1796875" style="5" customWidth="1"/>
    <col min="49" max="49" width="7.453125" style="5" customWidth="1"/>
    <col min="50" max="50" width="7.7265625" style="5" customWidth="1"/>
    <col min="51" max="51" width="11.36328125" style="5" customWidth="1"/>
    <col min="52" max="52" width="11.90625" style="1" customWidth="1"/>
    <col min="53" max="53" width="11.26953125" style="6" customWidth="1"/>
    <col min="54" max="54" width="9.90625" style="5" customWidth="1"/>
    <col min="55" max="55" width="15" style="4" customWidth="1"/>
    <col min="56" max="56" width="10.1796875" style="5" customWidth="1"/>
    <col min="57" max="57" width="8.90625" style="5" customWidth="1"/>
    <col min="58" max="58" width="10.90625" style="5" customWidth="1"/>
    <col min="59" max="59" width="8.08984375" style="4" customWidth="1"/>
    <col min="60" max="61" width="10.36328125" style="5" customWidth="1"/>
    <col min="62" max="62" width="12.453125" style="1" customWidth="1"/>
    <col min="63" max="63" width="10.36328125" style="1" customWidth="1"/>
    <col min="64" max="64" width="9.6328125" style="1" customWidth="1"/>
    <col min="65" max="65" width="13.36328125" style="1" customWidth="1"/>
    <col min="66" max="66" width="13.36328125" style="4" customWidth="1"/>
    <col min="67" max="16384" width="9.1796875" style="1"/>
  </cols>
  <sheetData>
    <row r="1" spans="1:66" ht="5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19" t="s">
        <v>25</v>
      </c>
      <c r="AA1" s="19" t="s">
        <v>26</v>
      </c>
      <c r="AB1" s="13" t="s">
        <v>27</v>
      </c>
      <c r="AC1" s="20" t="s">
        <v>28</v>
      </c>
      <c r="AD1" s="19" t="s">
        <v>29</v>
      </c>
      <c r="AE1" s="19" t="s">
        <v>30</v>
      </c>
      <c r="AF1" s="19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5" t="s">
        <v>45</v>
      </c>
      <c r="AU1" s="24" t="s">
        <v>46</v>
      </c>
      <c r="AV1" s="27" t="s">
        <v>47</v>
      </c>
      <c r="AW1" s="25" t="s">
        <v>48</v>
      </c>
      <c r="AX1" s="24" t="s">
        <v>49</v>
      </c>
      <c r="AY1" s="24" t="s">
        <v>50</v>
      </c>
      <c r="AZ1" s="28" t="s">
        <v>51</v>
      </c>
      <c r="BA1" s="29" t="s">
        <v>52</v>
      </c>
      <c r="BB1" s="28" t="s">
        <v>53</v>
      </c>
      <c r="BC1" s="30" t="s">
        <v>54</v>
      </c>
      <c r="BD1" s="24" t="s">
        <v>55</v>
      </c>
      <c r="BE1" s="31" t="s">
        <v>56</v>
      </c>
      <c r="BF1" s="28" t="s">
        <v>57</v>
      </c>
      <c r="BG1" s="29" t="s">
        <v>58</v>
      </c>
      <c r="BH1" s="32" t="s">
        <v>59</v>
      </c>
      <c r="BI1" s="33"/>
      <c r="BJ1" s="34" t="s">
        <v>60</v>
      </c>
      <c r="BK1" s="35" t="s">
        <v>61</v>
      </c>
      <c r="BL1" s="34" t="s">
        <v>62</v>
      </c>
      <c r="BM1" s="35" t="s">
        <v>63</v>
      </c>
      <c r="BN1" s="36" t="s">
        <v>64</v>
      </c>
    </row>
    <row r="2" spans="1:66" s="57" customFormat="1" x14ac:dyDescent="0.35">
      <c r="A2" s="37">
        <v>1</v>
      </c>
      <c r="B2" s="38"/>
      <c r="C2" s="38"/>
      <c r="D2" s="38" t="s">
        <v>65</v>
      </c>
      <c r="E2" s="38"/>
      <c r="F2" s="38" t="s">
        <v>66</v>
      </c>
      <c r="G2" s="39" t="s">
        <v>67</v>
      </c>
      <c r="H2" s="38" t="s">
        <v>68</v>
      </c>
      <c r="I2" s="38" t="s">
        <v>69</v>
      </c>
      <c r="J2" s="37" t="s">
        <v>70</v>
      </c>
      <c r="K2" s="38" t="s">
        <v>71</v>
      </c>
      <c r="L2" s="38" t="s">
        <v>72</v>
      </c>
      <c r="M2" s="38" t="s">
        <v>73</v>
      </c>
      <c r="N2" s="38"/>
      <c r="O2" s="40" t="s">
        <v>74</v>
      </c>
      <c r="P2" s="40" t="s">
        <v>75</v>
      </c>
      <c r="Q2" s="38"/>
      <c r="R2" s="38" t="s">
        <v>76</v>
      </c>
      <c r="S2" s="41">
        <v>204</v>
      </c>
      <c r="T2" s="42"/>
      <c r="U2" s="43">
        <f>IF(V2="","",W2*V2)</f>
        <v>174.55</v>
      </c>
      <c r="V2" s="44">
        <v>8.3000000000000007</v>
      </c>
      <c r="W2" s="45">
        <v>21.03</v>
      </c>
      <c r="X2" s="38" t="s">
        <v>77</v>
      </c>
      <c r="Y2" s="46">
        <v>36</v>
      </c>
      <c r="Z2" s="46">
        <v>30</v>
      </c>
      <c r="AA2" s="46">
        <v>39</v>
      </c>
      <c r="AB2" s="41">
        <v>4</v>
      </c>
      <c r="AC2" s="47">
        <f t="shared" ref="AC2" si="0">IF(Y2="","",Y2*Z2*AA2/1000000)</f>
        <v>4.2000000000000003E-2</v>
      </c>
      <c r="AD2" s="46">
        <v>13</v>
      </c>
      <c r="AE2" s="46">
        <v>11</v>
      </c>
      <c r="AF2" s="46">
        <v>3.5</v>
      </c>
      <c r="AG2" s="48">
        <v>5.0999999999999996</v>
      </c>
      <c r="AH2" s="48">
        <v>65</v>
      </c>
      <c r="AI2" s="49">
        <f t="shared" ref="AI2" si="1">IF(AB2="","",AH2/AC2*AB2)</f>
        <v>6190</v>
      </c>
      <c r="AJ2" s="50">
        <v>3500</v>
      </c>
      <c r="AK2" s="51">
        <f>IF(ISERROR(AJ2/AI2),"",AJ2/AI2)</f>
        <v>0.56999999999999995</v>
      </c>
      <c r="AL2" s="38" t="s">
        <v>78</v>
      </c>
      <c r="AM2" s="52">
        <v>0.442</v>
      </c>
      <c r="AN2" s="51">
        <f>IF(ISERROR(W2*AM2),"",W2*AM2)</f>
        <v>9.3000000000000007</v>
      </c>
      <c r="AO2" s="51">
        <f>IF(ISERROR(W2+AK2+AN2),"",W2+AK2+AN2)</f>
        <v>30.9</v>
      </c>
      <c r="AP2" s="53">
        <v>0.1</v>
      </c>
      <c r="AQ2" s="51">
        <f>IF(ISERROR(BB2*AP2),"",BB2*AP2)</f>
        <v>8.76</v>
      </c>
      <c r="AR2" s="53">
        <v>0.15</v>
      </c>
      <c r="AS2" s="51">
        <f>IF(ISERROR(BB2*AR2),"",BB2*AR2)</f>
        <v>13.14</v>
      </c>
      <c r="AT2" s="53">
        <v>0.1</v>
      </c>
      <c r="AU2" s="51">
        <f>IF(ISERROR(BB2*AT2),"",BB2*AT2)</f>
        <v>8.76</v>
      </c>
      <c r="AV2" s="45"/>
      <c r="AW2" s="53">
        <v>0</v>
      </c>
      <c r="AX2" s="51">
        <f>IF(ISERROR(BB2*AW2),"",BB2*AW2)</f>
        <v>0</v>
      </c>
      <c r="AY2" s="51">
        <f>IF(ISERROR(AQ2+AS2+AU2+AX2),"",AQ2+AS2+AU2+AX2)</f>
        <v>30.66</v>
      </c>
      <c r="AZ2" s="51">
        <f t="shared" ref="AZ2" si="2">IF(ISERROR(AO2+AY2),"",AO2+AY2)</f>
        <v>61.56</v>
      </c>
      <c r="BA2" s="54">
        <f t="shared" ref="BA2" si="3">IF(ISERROR((BB2-AZ2)/BB2),"",(BB2-AZ2)/BB2)</f>
        <v>0.29730000000000001</v>
      </c>
      <c r="BB2" s="51">
        <f>IF(BH2="","",BH2*(1-60%))</f>
        <v>87.6</v>
      </c>
      <c r="BC2" s="53">
        <v>0.3</v>
      </c>
      <c r="BD2" s="51">
        <f>IF(BC2="","",BH2*BC2)</f>
        <v>65.7</v>
      </c>
      <c r="BE2" s="45">
        <v>15</v>
      </c>
      <c r="BF2" s="51">
        <f>IF(ISERROR(AZ2+BD2+BE2),"",AZ2+BD2+BE2)</f>
        <v>142.26</v>
      </c>
      <c r="BG2" s="55">
        <f>IF(BH2="","",(BH2-BF2)/BH2)</f>
        <v>0.35039999999999999</v>
      </c>
      <c r="BH2" s="45">
        <v>219</v>
      </c>
      <c r="BI2" s="2"/>
      <c r="BJ2" s="51">
        <f>BB2</f>
        <v>87.6</v>
      </c>
      <c r="BK2" s="56">
        <f>IF(BL2="","",CEILING(BL2/0.9 - 0.01, 10) - 0.01)</f>
        <v>249.99</v>
      </c>
      <c r="BL2" s="51">
        <f>IF(BH2="","",BH2)</f>
        <v>219</v>
      </c>
      <c r="BM2" s="55">
        <f>IF(BJ2="","",(BJ2-AO2)/BJ2)</f>
        <v>0.64729999999999999</v>
      </c>
      <c r="BN2" s="55">
        <f>IF(BK2="","",(BK2-BJ2)/BK2)</f>
        <v>0.64959999999999996</v>
      </c>
    </row>
  </sheetData>
  <sheetProtection insertRows="0" deleteRows="0" sort="0"/>
  <protectedRanges>
    <protectedRange sqref="AN2:BE2 AC2 A2:B2 D2:E2 A4:B86 D4:E86 C2:C85 L2:R2 BG2 K3:R85 F2:J85 AH2:AI2 U2:X2 T3:AY85 AK2" name="Range1"/>
    <protectedRange sqref="Y2:AA2 AD2:AG2" name="Range1_2"/>
    <protectedRange sqref="AJ2" name="Range1_3"/>
    <protectedRange sqref="AL2:AM2" name="Range1_4"/>
    <protectedRange sqref="S2" name="Range1_6"/>
    <protectedRange sqref="K2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2025-10-27T18:26:47Z</dcterms:created>
  <dcterms:modified xsi:type="dcterms:W3CDTF">2025-10-27T18:27:30Z</dcterms:modified>
</cp:coreProperties>
</file>