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8A03B325-72DC-4E92-9859-8E0788A46DCB}" xr6:coauthVersionLast="47" xr6:coauthVersionMax="47" xr10:uidLastSave="{00000000-0000-0000-0000-000000000000}"/>
  <bookViews>
    <workbookView xWindow="-110" yWindow="-110" windowWidth="19420" windowHeight="10300" xr2:uid="{D04CFF85-FE8E-4D41-99E7-14C6D1F131F4}"/>
  </bookViews>
  <sheets>
    <sheet name="Item" sheetId="1" r:id="rId1"/>
  </sheets>
  <externalReferences>
    <externalReference r:id="rId2"/>
    <externalReference r:id="rId3"/>
    <externalReference r:id="rId4"/>
  </externalReferences>
  <definedNames>
    <definedName name="CATEGORY">[2]Sheet1!$DW$2:$DW$3</definedName>
    <definedName name="colour">[2]Sheet1!$EH$2:$EH$3</definedName>
    <definedName name="dim_weight_divisor">[3]Calculator!$D$16</definedName>
    <definedName name="foam">[2]Sheet1!$EC$2:$EC$3</definedName>
    <definedName name="item_height">[3]Calculator!$C$7</definedName>
    <definedName name="item_length">[3]Calculator!$C$5</definedName>
    <definedName name="item_width">[3]Calculator!$C$6</definedName>
    <definedName name="KD">[2]Sheet1!$DS$2:$DS$2</definedName>
    <definedName name="M">[2]Sheet1!$EA$2:$EA$3</definedName>
    <definedName name="outbound_weight">[3]Calculator!$D$20</definedName>
    <definedName name="PACK">[2]Sheet1!$EE$2:$EE$3</definedName>
    <definedName name="PORT_IFF">#N/A</definedName>
    <definedName name="sale_price">[3]Calculator!$C$4</definedName>
    <definedName name="UNIT">[2]Sheet1!$EF$2:$EF$3</definedName>
    <definedName name="vlook">#REF!</definedName>
    <definedName name="wood">[2]Sheet1!$EG$2:$EG$3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U3" i="1" l="1"/>
  <c r="AY3" i="1" s="1"/>
  <c r="BE3" i="1"/>
  <c r="AQ3" i="1"/>
  <c r="AT3" i="1" s="1"/>
  <c r="AU3" i="1" s="1"/>
  <c r="AP3" i="1"/>
  <c r="AO3" i="1"/>
  <c r="AC3" i="1"/>
  <c r="AE3" i="1" s="1"/>
  <c r="AG3" i="1" s="1"/>
  <c r="W3" i="1"/>
  <c r="AJ3" i="1" s="1"/>
  <c r="BU2" i="1"/>
  <c r="BO2" i="1" s="1"/>
  <c r="BE2" i="1"/>
  <c r="AQ2" i="1"/>
  <c r="AT2" i="1" s="1"/>
  <c r="AP2" i="1"/>
  <c r="AO2" i="1"/>
  <c r="AC2" i="1"/>
  <c r="AE2" i="1" s="1"/>
  <c r="AG2" i="1" s="1"/>
  <c r="W2" i="1"/>
  <c r="BI3" i="1" l="1"/>
  <c r="AU2" i="1"/>
  <c r="BI2" i="1" s="1"/>
  <c r="AW3" i="1"/>
  <c r="BO3" i="1"/>
  <c r="BK3" i="1"/>
  <c r="BM3" i="1"/>
  <c r="BB3" i="1"/>
  <c r="BF3" i="1"/>
  <c r="BG3" i="1"/>
  <c r="BB2" i="1"/>
  <c r="AY2" i="1"/>
  <c r="AK3" i="1"/>
  <c r="BF2" i="1"/>
  <c r="AJ2" i="1"/>
  <c r="AK2" i="1" s="1"/>
  <c r="BK2" i="1"/>
  <c r="AW2" i="1"/>
  <c r="BM2" i="1"/>
  <c r="BP2" i="1" l="1"/>
  <c r="BT2" i="1" s="1"/>
  <c r="BP3" i="1"/>
  <c r="BT3" i="1" s="1"/>
  <c r="BR2" i="1"/>
  <c r="BR3" i="1"/>
  <c r="BC3" i="1"/>
  <c r="BC2" i="1"/>
  <c r="BS2" i="1" l="1"/>
  <c r="BQ3" i="1"/>
  <c r="BX3" i="1" s="1"/>
  <c r="BQ2" i="1"/>
  <c r="BX2" i="1" s="1"/>
  <c r="BS3" i="1"/>
  <c r="BW3" i="1" l="1"/>
  <c r="BW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W1" authorId="0" shapeId="0" xr:uid="{BA5F003C-1299-4EC8-A1CA-6C7D62E30C61}">
      <text>
        <r>
          <rPr>
            <sz val="11"/>
            <rFont val="Calibri"/>
            <family val="2"/>
          </rPr>
          <t>[FOB Cost (Value)]/[Exchange Rate]</t>
        </r>
      </text>
    </comment>
    <comment ref="AC1" authorId="0" shapeId="0" xr:uid="{6092691D-E757-464F-8BAE-776A1A91C88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8D4983D-0F89-44A7-B1C7-D5A099D891F2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 xr:uid="{F8CA69A0-E6AB-4994-9148-D758A11FC87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A28BDA21-59D8-4979-851D-F96E2C531FAE}">
      <text>
        <r>
          <rPr>
            <sz val="11"/>
            <rFont val="Calibri"/>
            <family val="2"/>
          </rPr>
          <t>[FOB Cost $ (Formula)]*[Duty Rate]</t>
        </r>
      </text>
    </comment>
    <comment ref="AK1" authorId="0" shapeId="0" xr:uid="{43F88704-D404-4F50-83D4-78FDA8355885}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O1" authorId="0" shapeId="0" xr:uid="{6F68B402-DCBF-46FD-BA33-685C665592D1}">
      <text>
        <r>
          <rPr>
            <sz val="11"/>
            <rFont val="Calibri"/>
            <family val="2"/>
          </rPr>
          <t>2*([Product Size W]+[product Size H])</t>
        </r>
      </text>
    </comment>
    <comment ref="AP1" authorId="0" shapeId="0" xr:uid="{7952D092-B15D-46DE-81E9-800596A3C10A}">
      <text>
        <r>
          <rPr>
            <sz val="11"/>
            <rFont val="Calibri"/>
            <family val="2"/>
          </rPr>
          <t>[Product Size L]*[Product Size W]*[Product Size H])/12/12/12</t>
        </r>
      </text>
    </comment>
    <comment ref="AQ1" authorId="0" shapeId="0" xr:uid="{BDF8A345-82EA-43BE-8D58-15F540EBF0E3}">
      <text>
        <r>
          <rPr>
            <sz val="11"/>
            <rFont val="Calibri"/>
            <family val="2"/>
          </rPr>
          <t>[Product Size L]*[Product Size W]*[Product Size H])/139</t>
        </r>
      </text>
    </comment>
    <comment ref="AT1" authorId="0" shapeId="0" xr:uid="{EFE8BA90-1E49-4947-B781-A59B881FD7B8}">
      <text>
        <r>
          <rPr>
            <sz val="11"/>
            <rFont val="Calibri"/>
            <family val="2"/>
          </rPr>
          <t>MAX([Dimensional Weight]:[Product Weight]*(1+[Dimensional Weight Charge %]</t>
        </r>
      </text>
    </comment>
    <comment ref="AW1" authorId="0" shapeId="0" xr:uid="{6FD4C98C-A688-4F3B-A3AD-E35FEBE68AA8}">
      <text>
        <r>
          <rPr>
            <sz val="11"/>
            <rFont val="Calibri"/>
            <family val="2"/>
          </rPr>
          <t>[Average Retail Price]*[DA %]</t>
        </r>
      </text>
    </comment>
    <comment ref="AY1" authorId="0" shapeId="0" xr:uid="{527187D9-F31A-4988-BF37-19D055D8301F}">
      <text>
        <r>
          <rPr>
            <sz val="11"/>
            <rFont val="Calibri"/>
            <family val="2"/>
          </rPr>
          <t>[Average Retail Price]*[Warehouse Charge %]</t>
        </r>
      </text>
    </comment>
    <comment ref="BB1" authorId="0" shapeId="0" xr:uid="{044F17A8-DB42-4A45-9F7C-6C52542A6EDC}">
      <text>
        <r>
          <rPr>
            <sz val="11"/>
            <rFont val="Calibri"/>
            <family val="2"/>
          </rPr>
          <t>[Average Retail Price]*[Marketing Outside AMZ %]</t>
        </r>
      </text>
    </comment>
    <comment ref="BC1" authorId="0" shapeId="0" xr:uid="{B7051D2B-E09C-4A9D-B3E2-4C331CBCCE41}">
      <text>
        <r>
          <rPr>
            <sz val="11"/>
            <rFont val="Calibri"/>
            <family val="2"/>
          </rPr>
          <t>[DA $]+[Marketing $]+[Other Load$]+[Shipping $]</t>
        </r>
      </text>
    </comment>
    <comment ref="BF1" authorId="0" shapeId="0" xr:uid="{48187084-207F-4FFA-956D-457D48765ECB}">
      <text>
        <r>
          <rPr>
            <sz val="11"/>
            <rFont val="Calibri"/>
            <family val="2"/>
          </rPr>
          <t>[Average Retail Price]*[Amazon Comm %]</t>
        </r>
      </text>
    </comment>
    <comment ref="BK1" authorId="0" shapeId="0" xr:uid="{2A3E685F-CA95-48BA-A201-20AD293533BC}">
      <text>
        <r>
          <rPr>
            <sz val="11"/>
            <rFont val="Calibri"/>
            <family val="2"/>
          </rPr>
          <t>[Average Retail Price]*[PPC Cost %]</t>
        </r>
      </text>
    </comment>
    <comment ref="BM1" authorId="0" shapeId="0" xr:uid="{695BF846-324D-4A2B-B0B7-C867CA158E00}">
      <text>
        <r>
          <rPr>
            <sz val="11"/>
            <rFont val="Calibri"/>
            <family val="2"/>
          </rPr>
          <t>[Average Retail Price]*[Promotion %]</t>
        </r>
      </text>
    </comment>
    <comment ref="BO1" authorId="0" shapeId="0" xr:uid="{C958990C-26C2-4737-8474-8D5ECA636BE2}">
      <text>
        <r>
          <rPr>
            <sz val="11"/>
            <rFont val="Calibri"/>
            <family val="2"/>
          </rPr>
          <t>[Average Retail Price]*[Other Charges %]</t>
        </r>
      </text>
    </comment>
    <comment ref="BP1" authorId="0" shapeId="0" xr:uid="{B20AFE11-CE49-43F5-8807-D2E40BD8CB3F}">
      <text>
        <r>
          <rPr>
            <sz val="11"/>
            <rFont val="Calibri"/>
            <family val="2"/>
          </rPr>
          <t>[AMZ Comm]+[AMZ Handling Freight]+[Storage]+[PPC Cost]+[Promotion]+[Other Charges]</t>
        </r>
      </text>
    </comment>
    <comment ref="BQ1" authorId="0" shapeId="0" xr:uid="{EB7A2B0E-7331-49F2-BC91-E1A358D2536A}">
      <text>
        <r>
          <rPr>
            <sz val="11"/>
            <rFont val="Calibri"/>
            <family val="2"/>
          </rPr>
          <t>[Total JLA Load]+[Total Amazon Charges]</t>
        </r>
      </text>
    </comment>
    <comment ref="BR1" authorId="0" shapeId="0" xr:uid="{3648CD27-FEA8-466B-83A1-B5015D2DDED0}">
      <text>
        <r>
          <rPr>
            <sz val="11"/>
            <rFont val="Calibri"/>
            <family val="2"/>
          </rPr>
          <t>[LDP Cost]+[Warehouse Charge]</t>
        </r>
      </text>
    </comment>
    <comment ref="BS1" authorId="0" shapeId="0" xr:uid="{24FA1938-06F6-4880-9893-01DFBF4E0C77}">
      <text>
        <r>
          <rPr>
            <sz val="11"/>
            <rFont val="Calibri"/>
            <family val="2"/>
          </rPr>
          <t>([Net Sales per Unit]-[Net Cost])/[Net Sales per Unit]</t>
        </r>
      </text>
    </comment>
    <comment ref="BT1" authorId="0" shapeId="0" xr:uid="{00BE3CF2-A658-4D05-857B-E7C9D5CF89C7}">
      <text>
        <r>
          <rPr>
            <sz val="11"/>
            <rFont val="Calibri"/>
            <family val="2"/>
          </rPr>
          <t>([Average Retail Price]-[DA $]]-[Freight to AMZ]-[Marketing outside AMZ]-[Total Amazon Charges]</t>
        </r>
      </text>
    </comment>
    <comment ref="BU1" authorId="0" shapeId="0" xr:uid="{D97A7A1A-81F1-4473-BCB2-C7EFE40A89E3}">
      <text>
        <r>
          <rPr>
            <sz val="11"/>
            <rFont val="Calibri"/>
            <family val="2"/>
          </rPr>
          <t>([MSRP]*(1-[Promotion %])</t>
        </r>
      </text>
    </comment>
    <comment ref="BW1" authorId="0" shapeId="0" xr:uid="{479F7E63-0D54-4F83-9EAE-3B408B98D403}">
      <text>
        <r>
          <rPr>
            <sz val="11"/>
            <rFont val="Calibri"/>
            <family val="2"/>
          </rPr>
          <t>[LDP Cost]+[Total Expenses and Charges]</t>
        </r>
      </text>
    </comment>
    <comment ref="BX1" authorId="0" shapeId="0" xr:uid="{8D6DCABD-A837-4161-9895-50A46086ECA8}">
      <text>
        <r>
          <rPr>
            <sz val="11"/>
            <rFont val="Calibri"/>
            <family val="2"/>
          </rPr>
          <t>[Total Loads and Charges]/[Average Retail Price]-6%</t>
        </r>
      </text>
    </comment>
  </commentList>
</comments>
</file>

<file path=xl/sharedStrings.xml><?xml version="1.0" encoding="utf-8"?>
<sst xmlns="http://schemas.openxmlformats.org/spreadsheetml/2006/main" count="104" uniqueCount="97">
  <si>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</si>
  <si>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</si>
  <si>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</si>
  <si>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</si>
  <si>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</si>
  <si>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</si>
  <si>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</si>
  <si>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</si>
  <si>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</si>
  <si>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</si>
  <si>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</si>
  <si>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</si>
  <si>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</si>
  <si>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</si>
  <si>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</si>
  <si>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</si>
  <si>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</si>
  <si>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</si>
  <si>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Total Quantity</t>
  </si>
  <si>
    <t>UCCPM Price</t>
  </si>
  <si>
    <t>FOB Cost (Value)</t>
  </si>
  <si>
    <t>Exchange Rate</t>
  </si>
  <si>
    <t>FOB Cost $ (Formula)</t>
  </si>
  <si>
    <t>Package Type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</si>
  <si>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</si>
  <si>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</si>
  <si>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</si>
  <si>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</si>
  <si>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</si>
  <si>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</si>
  <si>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</si>
  <si>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</si>
  <si>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</si>
  <si>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</si>
  <si>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</si>
  <si>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</si>
  <si>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</si>
  <si>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Product Size L (in)</t>
  </si>
  <si>
    <t>Product Size W (in)</t>
  </si>
  <si>
    <t>Product Size H (in)</t>
  </si>
  <si>
    <t>Girth</t>
  </si>
  <si>
    <t>Cubic Foot per Item</t>
  </si>
  <si>
    <t>Demensional Weight</t>
  </si>
  <si>
    <t>Product Weight (lb)</t>
  </si>
  <si>
    <t>Demensional Weight Charge %</t>
  </si>
  <si>
    <t>Demensional Weight Charge $</t>
  </si>
  <si>
    <t>Size Tier</t>
  </si>
  <si>
    <t>DA %</t>
  </si>
  <si>
    <t>DA $</t>
  </si>
  <si>
    <t>Warehouse Charge %</t>
  </si>
  <si>
    <t>Warehouse Charge $</t>
  </si>
  <si>
    <t>Freight to Amazon</t>
  </si>
  <si>
    <t>Marketing outside AMZ %</t>
  </si>
  <si>
    <t>Marketing outside AMZ $</t>
  </si>
  <si>
    <t>Total JLA Load $</t>
  </si>
  <si>
    <t>Category</t>
  </si>
  <si>
    <t>Amazon Commission %</t>
  </si>
  <si>
    <t>Amazon Commission $</t>
  </si>
  <si>
    <t>Amazon Handling Freight</t>
  </si>
  <si>
    <t>Storage (month) Unit Price</t>
  </si>
  <si>
    <t>Storage (month) $</t>
  </si>
  <si>
    <t>PPC Cost %</t>
  </si>
  <si>
    <t>PPC Cost $</t>
  </si>
  <si>
    <t>Promotion %</t>
  </si>
  <si>
    <t>Promotion $</t>
  </si>
  <si>
    <t>Other Charges %</t>
  </si>
  <si>
    <t>Other Charges $</t>
  </si>
  <si>
    <t>Total Amazon Charges $</t>
  </si>
  <si>
    <t>Total Expenses and charges of JLA and Amazon</t>
  </si>
  <si>
    <t>Net Cost</t>
  </si>
  <si>
    <t>Margin %</t>
  </si>
  <si>
    <t>Net Sales per Unit</t>
  </si>
  <si>
    <t>Average Retail Price</t>
  </si>
  <si>
    <t>MSRP</t>
  </si>
  <si>
    <t>Lowest Retail Price</t>
  </si>
  <si>
    <t>EEC Load %</t>
  </si>
  <si>
    <t>Codi</t>
  </si>
  <si>
    <t>Ottoman &amp; Cubes &amp; Stool &amp; Bean Bag</t>
  </si>
  <si>
    <t>Codi Pazpod Bean Bag</t>
  </si>
  <si>
    <t>Pazpod Bean Bag</t>
  </si>
  <si>
    <t>Cover fabric：100% polyester 240gsm solid mink bonded 50gsm TC fabric ， a handle, a side pocket，5# nylon zipper closure.Inner fabric：100% polyester 80gsm black non-woven，shredded foam fill.                                            Packaging：Ineer compressed，Cover fold put in PE bag+Instruction card，Put together in a print carton.</t>
  </si>
  <si>
    <t>100% polyester</t>
  </si>
  <si>
    <t>3FL (36*36*24") /8.5kg</t>
  </si>
  <si>
    <t>Grey</t>
  </si>
  <si>
    <t>COD101-0173</t>
  </si>
  <si>
    <t>022164332285</t>
  </si>
  <si>
    <t>Piece</t>
  </si>
  <si>
    <t>Normal</t>
  </si>
  <si>
    <t xml:space="preserve">9404.90.9622 </t>
  </si>
  <si>
    <t>Default</t>
  </si>
  <si>
    <t>Codi Pazpod Bean Bag -cover</t>
  </si>
  <si>
    <t>Pazpod Bean Bag -cover</t>
  </si>
  <si>
    <t>Cover fabric：100% polyester 240gsm solid mink bonded 50gsm TC fabric ，a handle, a side pocket，5# nylon zipper closure. Packaging：fold put in PE bag+Instruction card，10pcs/carton.</t>
  </si>
  <si>
    <t xml:space="preserve">4FL(48*48*26") </t>
  </si>
  <si>
    <t>COD101-0179</t>
  </si>
  <si>
    <t>022164332346</t>
  </si>
  <si>
    <t>6302.32.2060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</si>
</sst>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"/>
    <numFmt numFmtId="166" formatCode="0.000"/>
    <numFmt numFmtId="167" formatCode="&quot;$&quot;#,##0.0000"/>
    <numFmt numFmtId="168" formatCode="[$$-409]#,##0.00;\-[$$-409]#,##0.00"/>
    <numFmt numFmtId="169" formatCode="[$$-481]#,##0.00_);[Red]\([$$-481]#,##0.00\)"/>
    <numFmt numFmtId="170" formatCode="[$€-2]\ #,##0.00_);[Red]\([$€-2]\ #,##0.00\)"/>
    <numFmt numFmtId="171" formatCode="0.0%"/>
  </numFmts>
  <fonts count="8">
    <font>
      <sz val="11"/>
      <name val="Calibri"/>
    </font>
    <font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name val="Arial"/>
      <family val="2"/>
    </font>
    <font>
      <sz val="9"/>
      <color theme="1"/>
      <name val="微软雅黑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E4BEF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0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1" applyAlignment="1">
      <alignment wrapText="1"/>
    </xf>
    <xf numFmtId="164" fontId="1" fillId="0" borderId="0" xfId="1" applyNumberFormat="1"/>
    <xf numFmtId="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64" fontId="1" fillId="0" borderId="0" xfId="1" applyNumberFormat="1" applyAlignment="1">
      <alignment wrapText="1"/>
    </xf>
    <xf numFmtId="167" fontId="1" fillId="0" borderId="0" xfId="1" applyNumberFormat="1" applyAlignment="1">
      <alignment wrapText="1"/>
    </xf>
    <xf numFmtId="0" fontId="1" fillId="0" borderId="0" xfId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4" fillId="6" borderId="1" xfId="1" applyFont="1" applyFill="1" applyBorder="1" applyAlignment="1">
      <alignment horizontal="center" wrapText="1"/>
    </xf>
    <xf numFmtId="0" fontId="5" fillId="6" borderId="1" xfId="1" applyFont="1" applyFill="1" applyBorder="1" applyAlignment="1">
      <alignment horizontal="center" wrapText="1"/>
    </xf>
    <xf numFmtId="0" fontId="5" fillId="7" borderId="1" xfId="1" applyFont="1" applyFill="1" applyBorder="1" applyAlignment="1">
      <alignment horizontal="center" wrapText="1"/>
    </xf>
    <xf numFmtId="0" fontId="4" fillId="7" borderId="1" xfId="1" applyFont="1" applyFill="1" applyBorder="1" applyAlignment="1">
      <alignment horizontal="center" wrapText="1"/>
    </xf>
    <xf numFmtId="1" fontId="4" fillId="0" borderId="1" xfId="1" applyNumberFormat="1" applyFont="1" applyBorder="1" applyAlignment="1">
      <alignment horizontal="center" wrapText="1"/>
    </xf>
    <xf numFmtId="164" fontId="4" fillId="2" borderId="1" xfId="1" applyNumberFormat="1" applyFont="1" applyFill="1" applyBorder="1" applyAlignment="1">
      <alignment wrapText="1"/>
    </xf>
    <xf numFmtId="4" fontId="4" fillId="2" borderId="1" xfId="1" applyNumberFormat="1" applyFont="1" applyFill="1" applyBorder="1" applyAlignment="1">
      <alignment wrapText="1"/>
    </xf>
    <xf numFmtId="2" fontId="4" fillId="2" borderId="1" xfId="1" applyNumberFormat="1" applyFont="1" applyFill="1" applyBorder="1" applyAlignment="1">
      <alignment wrapText="1"/>
    </xf>
    <xf numFmtId="164" fontId="3" fillId="8" borderId="1" xfId="2" applyNumberFormat="1" applyFont="1" applyFill="1" applyBorder="1" applyAlignment="1">
      <alignment wrapText="1"/>
    </xf>
    <xf numFmtId="0" fontId="5" fillId="0" borderId="1" xfId="1" applyFont="1" applyBorder="1" applyAlignment="1">
      <alignment horizontal="center" wrapText="1"/>
    </xf>
    <xf numFmtId="165" fontId="4" fillId="0" borderId="1" xfId="1" applyNumberFormat="1" applyFont="1" applyBorder="1" applyAlignment="1">
      <alignment horizontal="center" wrapText="1"/>
    </xf>
    <xf numFmtId="166" fontId="3" fillId="0" borderId="1" xfId="2" applyNumberFormat="1" applyFont="1" applyBorder="1" applyAlignment="1">
      <alignment wrapText="1"/>
    </xf>
    <xf numFmtId="2" fontId="6" fillId="0" borderId="1" xfId="2" applyNumberFormat="1" applyFont="1" applyBorder="1" applyAlignment="1">
      <alignment wrapText="1"/>
    </xf>
    <xf numFmtId="1" fontId="3" fillId="0" borderId="1" xfId="2" applyNumberFormat="1" applyFont="1" applyBorder="1" applyAlignment="1">
      <alignment wrapText="1"/>
    </xf>
    <xf numFmtId="164" fontId="3" fillId="0" borderId="1" xfId="2" applyNumberFormat="1" applyFont="1" applyBorder="1" applyAlignment="1">
      <alignment wrapText="1"/>
    </xf>
    <xf numFmtId="10" fontId="4" fillId="0" borderId="1" xfId="1" applyNumberFormat="1" applyFont="1" applyBorder="1" applyAlignment="1">
      <alignment horizontal="center" wrapText="1"/>
    </xf>
    <xf numFmtId="164" fontId="3" fillId="7" borderId="1" xfId="2" applyNumberFormat="1" applyFont="1" applyFill="1" applyBorder="1" applyAlignment="1">
      <alignment wrapText="1"/>
    </xf>
    <xf numFmtId="165" fontId="4" fillId="3" borderId="1" xfId="1" applyNumberFormat="1" applyFont="1" applyFill="1" applyBorder="1" applyAlignment="1">
      <alignment horizontal="center" wrapText="1"/>
    </xf>
    <xf numFmtId="1" fontId="3" fillId="3" borderId="1" xfId="2" applyNumberFormat="1" applyFont="1" applyFill="1" applyBorder="1" applyAlignment="1">
      <alignment wrapText="1"/>
    </xf>
    <xf numFmtId="2" fontId="3" fillId="3" borderId="1" xfId="2" applyNumberFormat="1" applyFont="1" applyFill="1" applyBorder="1" applyAlignment="1">
      <alignment wrapText="1"/>
    </xf>
    <xf numFmtId="2" fontId="4" fillId="3" borderId="1" xfId="1" applyNumberFormat="1" applyFont="1" applyFill="1" applyBorder="1" applyAlignment="1">
      <alignment horizontal="center" wrapText="1"/>
    </xf>
    <xf numFmtId="10" fontId="4" fillId="3" borderId="1" xfId="1" applyNumberFormat="1" applyFont="1" applyFill="1" applyBorder="1" applyAlignment="1">
      <alignment horizontal="center" wrapText="1"/>
    </xf>
    <xf numFmtId="10" fontId="4" fillId="4" borderId="1" xfId="1" applyNumberFormat="1" applyFont="1" applyFill="1" applyBorder="1" applyAlignment="1">
      <alignment horizontal="center" wrapText="1"/>
    </xf>
    <xf numFmtId="164" fontId="3" fillId="4" borderId="1" xfId="2" applyNumberFormat="1" applyFont="1" applyFill="1" applyBorder="1" applyAlignment="1">
      <alignment wrapText="1"/>
    </xf>
    <xf numFmtId="164" fontId="6" fillId="4" borderId="1" xfId="2" applyNumberFormat="1" applyFont="1" applyFill="1" applyBorder="1" applyAlignment="1">
      <alignment wrapText="1"/>
    </xf>
    <xf numFmtId="0" fontId="6" fillId="2" borderId="1" xfId="2" applyFont="1" applyFill="1" applyBorder="1" applyAlignment="1">
      <alignment wrapText="1"/>
    </xf>
    <xf numFmtId="164" fontId="3" fillId="2" borderId="1" xfId="2" applyNumberFormat="1" applyFont="1" applyFill="1" applyBorder="1" applyAlignment="1">
      <alignment wrapText="1"/>
    </xf>
    <xf numFmtId="164" fontId="6" fillId="2" borderId="1" xfId="2" applyNumberFormat="1" applyFont="1" applyFill="1" applyBorder="1" applyAlignment="1">
      <alignment wrapText="1"/>
    </xf>
    <xf numFmtId="10" fontId="4" fillId="2" borderId="1" xfId="1" applyNumberFormat="1" applyFont="1" applyFill="1" applyBorder="1" applyAlignment="1">
      <alignment horizontal="center" wrapText="1"/>
    </xf>
    <xf numFmtId="164" fontId="3" fillId="5" borderId="1" xfId="2" applyNumberFormat="1" applyFont="1" applyFill="1" applyBorder="1" applyAlignment="1">
      <alignment wrapText="1"/>
    </xf>
    <xf numFmtId="10" fontId="3" fillId="5" borderId="1" xfId="2" applyNumberFormat="1" applyFont="1" applyFill="1" applyBorder="1" applyAlignment="1">
      <alignment wrapText="1"/>
    </xf>
    <xf numFmtId="10" fontId="3" fillId="9" borderId="1" xfId="2" applyNumberFormat="1" applyFont="1" applyFill="1" applyBorder="1" applyAlignment="1">
      <alignment wrapText="1"/>
    </xf>
    <xf numFmtId="10" fontId="6" fillId="5" borderId="1" xfId="2" applyNumberFormat="1" applyFont="1" applyFill="1" applyBorder="1" applyAlignment="1">
      <alignment wrapText="1"/>
    </xf>
    <xf numFmtId="0" fontId="1" fillId="0" borderId="1" xfId="1" applyBorder="1" applyAlignment="1">
      <alignment horizontal="center"/>
    </xf>
    <xf numFmtId="0" fontId="1" fillId="0" borderId="1" xfId="1" applyBorder="1"/>
    <xf numFmtId="168" fontId="1" fillId="0" borderId="1" xfId="1" applyNumberFormat="1" applyBorder="1"/>
    <xf numFmtId="169" fontId="1" fillId="0" borderId="1" xfId="1" applyNumberFormat="1" applyBorder="1"/>
    <xf numFmtId="170" fontId="1" fillId="0" borderId="1" xfId="1" applyNumberFormat="1" applyBorder="1"/>
    <xf numFmtId="1" fontId="1" fillId="0" borderId="1" xfId="1" applyNumberFormat="1" applyBorder="1"/>
    <xf numFmtId="164" fontId="1" fillId="0" borderId="2" xfId="1" applyNumberFormat="1" applyBorder="1" applyAlignment="1">
      <alignment horizontal="center" wrapText="1"/>
    </xf>
    <xf numFmtId="4" fontId="1" fillId="0" borderId="2" xfId="1" applyNumberFormat="1" applyBorder="1"/>
    <xf numFmtId="2" fontId="1" fillId="0" borderId="2" xfId="1" applyNumberFormat="1" applyBorder="1"/>
    <xf numFmtId="164" fontId="1" fillId="10" borderId="1" xfId="1" applyNumberFormat="1" applyFill="1" applyBorder="1"/>
    <xf numFmtId="165" fontId="1" fillId="0" borderId="1" xfId="1" applyNumberFormat="1" applyBorder="1"/>
    <xf numFmtId="166" fontId="1" fillId="10" borderId="1" xfId="1" applyNumberFormat="1" applyFill="1" applyBorder="1"/>
    <xf numFmtId="2" fontId="1" fillId="0" borderId="1" xfId="1" applyNumberFormat="1" applyBorder="1"/>
    <xf numFmtId="1" fontId="1" fillId="10" borderId="1" xfId="1" applyNumberFormat="1" applyFill="1" applyBorder="1"/>
    <xf numFmtId="3" fontId="1" fillId="0" borderId="1" xfId="1" applyNumberFormat="1" applyBorder="1"/>
    <xf numFmtId="171" fontId="1" fillId="0" borderId="1" xfId="1" applyNumberFormat="1" applyBorder="1"/>
    <xf numFmtId="2" fontId="1" fillId="10" borderId="1" xfId="1" applyNumberFormat="1" applyFill="1" applyBorder="1"/>
    <xf numFmtId="10" fontId="1" fillId="0" borderId="1" xfId="1" applyNumberFormat="1" applyBorder="1"/>
    <xf numFmtId="7" fontId="7" fillId="11" borderId="3" xfId="0" applyNumberFormat="1" applyFont="1" applyFill="1" applyBorder="1" applyAlignment="1">
      <alignment horizontal="center" vertical="center" wrapText="1"/>
    </xf>
    <xf numFmtId="2" fontId="7" fillId="12" borderId="4" xfId="0" applyNumberFormat="1" applyFont="1" applyFill="1" applyBorder="1" applyAlignment="1">
      <alignment horizontal="center" vertical="center" wrapText="1"/>
    </xf>
    <xf numFmtId="164" fontId="1" fillId="0" borderId="1" xfId="1" applyNumberFormat="1" applyBorder="1"/>
    <xf numFmtId="10" fontId="1" fillId="10" borderId="1" xfId="1" applyNumberFormat="1" applyFill="1" applyBorder="1"/>
    <xf numFmtId="44" fontId="7" fillId="12" borderId="5" xfId="0" applyNumberFormat="1" applyFont="1" applyFill="1" applyBorder="1" applyAlignment="1">
      <alignment horizontal="center" vertical="center"/>
    </xf>
    <xf numFmtId="10" fontId="0" fillId="10" borderId="1" xfId="4" applyNumberFormat="1" applyFont="1" applyFill="1" applyBorder="1" applyAlignment="1"/>
    <xf numFmtId="0" fontId="1" fillId="0" borderId="0" xfId="1"/>
    <xf numFmtId="44" fontId="7" fillId="11" borderId="5" xfId="0" applyNumberFormat="1" applyFont="1" applyFill="1" applyBorder="1" applyAlignment="1">
      <alignment horizontal="center" vertical="center"/>
    </xf>
    <xf numFmtId="164" fontId="1" fillId="0" borderId="2" xfId="1" applyNumberFormat="1" applyBorder="1"/>
    <xf numFmtId="165" fontId="1" fillId="0" borderId="0" xfId="1" applyNumberFormat="1" applyAlignment="1">
      <alignment wrapText="1"/>
    </xf>
    <xf numFmtId="4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66" fontId="1" fillId="0" borderId="0" xfId="1" applyNumberFormat="1" applyAlignment="1">
      <alignment wrapText="1"/>
    </xf>
  </cellXfs>
  <cellStyles count="5">
    <cellStyle name="Normal" xfId="0" builtinId="0"/>
    <cellStyle name="Normal 2" xfId="1" xr:uid="{B0E86A17-C080-4270-8278-08D408F74ACA}"/>
    <cellStyle name="Normal 2 18 2" xfId="2" xr:uid="{C2E893D0-7AF2-4F32-ACDA-F61E51B11CD1}"/>
    <cellStyle name="Percent 2" xfId="4" xr:uid="{2173C4A7-BD13-48F3-BC26-8BE05809E68F}"/>
    <cellStyle name="样式 1 2" xfId="3" xr:uid="{AB7FFD23-470B-40FD-ACDF-AC838C6B68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zhu\Desktop\Project\13.%20UCT%20&#24037;&#20316;&#20248;&#21270;%20-%20Anna%20Ying\&#26679;&#34920;\Commitment\MIS%20HHL\2025%20MISC%20AmazonFBA.xlsx" TargetMode="External"/><Relationship Id="rId1" Type="http://schemas.openxmlformats.org/officeDocument/2006/relationships/externalLinkPath" Target="/Users/heather.zhu/Desktop/Project/13.%20UCT%20&#24037;&#20316;&#20248;&#21270;%20-%20Anna%20Ying/&#26679;&#34920;/Commitment/MIS%20HHL/2025%20MISC%20AmazonFB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ichardxu\Downloads\Minimum%20Cos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ValueSelect"/>
      <sheetName val="Formulas"/>
    </sheetNames>
    <sheetDataSet>
      <sheetData sheetId="0"/>
      <sheetData sheetId="1"/>
      <sheetData sheetId="2"/>
      <sheetData sheetId="3">
        <row r="3">
          <cell r="B3">
            <v>0.625</v>
          </cell>
          <cell r="C3">
            <v>15</v>
          </cell>
          <cell r="D3">
            <v>12</v>
          </cell>
          <cell r="E3">
            <v>0.75</v>
          </cell>
          <cell r="G3">
            <v>0.25</v>
          </cell>
          <cell r="H3">
            <v>0</v>
          </cell>
          <cell r="J3">
            <v>2.5</v>
          </cell>
          <cell r="M3">
            <v>0.75</v>
          </cell>
          <cell r="N3">
            <v>2.4</v>
          </cell>
          <cell r="O3" t="str">
            <v>Standard-size less than 10oz</v>
          </cell>
        </row>
        <row r="4">
          <cell r="B4">
            <v>1</v>
          </cell>
          <cell r="C4">
            <v>15</v>
          </cell>
          <cell r="D4">
            <v>12</v>
          </cell>
          <cell r="E4">
            <v>0.75</v>
          </cell>
          <cell r="O4" t="str">
            <v>Standard-size small 10-16oz</v>
          </cell>
        </row>
        <row r="5">
          <cell r="B5">
            <v>0.625</v>
          </cell>
          <cell r="C5">
            <v>18</v>
          </cell>
          <cell r="D5">
            <v>14</v>
          </cell>
          <cell r="E5">
            <v>8</v>
          </cell>
          <cell r="O5" t="str">
            <v>Large standard-size less than 10oz</v>
          </cell>
        </row>
        <row r="6">
          <cell r="B6">
            <v>1</v>
          </cell>
          <cell r="C6">
            <v>18</v>
          </cell>
          <cell r="D6">
            <v>14</v>
          </cell>
          <cell r="E6">
            <v>8</v>
          </cell>
          <cell r="O6" t="str">
            <v>Large standard-size 10-16oz</v>
          </cell>
        </row>
        <row r="7">
          <cell r="B7">
            <v>2</v>
          </cell>
          <cell r="C7">
            <v>18</v>
          </cell>
          <cell r="D7">
            <v>14</v>
          </cell>
          <cell r="E7">
            <v>8</v>
          </cell>
          <cell r="O7" t="str">
            <v>Large standard-size one lb to two lb</v>
          </cell>
        </row>
        <row r="8">
          <cell r="B8">
            <v>3</v>
          </cell>
          <cell r="C8">
            <v>18</v>
          </cell>
          <cell r="D8">
            <v>14</v>
          </cell>
          <cell r="E8">
            <v>8</v>
          </cell>
          <cell r="O8" t="str">
            <v>Large standard-size two lb to three lb</v>
          </cell>
        </row>
        <row r="9">
          <cell r="B9">
            <v>20</v>
          </cell>
          <cell r="C9">
            <v>18</v>
          </cell>
          <cell r="D9">
            <v>14</v>
          </cell>
          <cell r="E9">
            <v>8</v>
          </cell>
          <cell r="O9" t="str">
            <v>Large standard-size over three lb</v>
          </cell>
        </row>
        <row r="10">
          <cell r="B10">
            <v>70</v>
          </cell>
          <cell r="C10">
            <v>60</v>
          </cell>
          <cell r="D10">
            <v>30</v>
          </cell>
          <cell r="F10">
            <v>130</v>
          </cell>
          <cell r="O10" t="str">
            <v>Small oversize</v>
          </cell>
        </row>
        <row r="11">
          <cell r="B11">
            <v>150</v>
          </cell>
          <cell r="C11">
            <v>108</v>
          </cell>
          <cell r="F11">
            <v>130</v>
          </cell>
          <cell r="O11" t="str">
            <v>Medium oversize</v>
          </cell>
        </row>
        <row r="12">
          <cell r="B12">
            <v>150</v>
          </cell>
          <cell r="C12">
            <v>108</v>
          </cell>
          <cell r="F12">
            <v>165</v>
          </cell>
          <cell r="O12" t="str">
            <v>Large oversize</v>
          </cell>
        </row>
        <row r="13">
          <cell r="O13" t="str">
            <v>Special oversize</v>
          </cell>
        </row>
        <row r="14">
          <cell r="O14" t="str">
            <v>Standard-size less than 10oz (clothing)</v>
          </cell>
        </row>
        <row r="15">
          <cell r="O15" t="str">
            <v>Standard-size small 10-16oz (clothing)</v>
          </cell>
        </row>
        <row r="16">
          <cell r="O16" t="str">
            <v>Large standard-size less than 10oz (clothing)</v>
          </cell>
        </row>
        <row r="17">
          <cell r="O17" t="str">
            <v>Large standard-size 10-16oz (clothing)</v>
          </cell>
        </row>
        <row r="18">
          <cell r="O18" t="str">
            <v>Large standard-size one lb to two lb (clothing)</v>
          </cell>
        </row>
        <row r="19">
          <cell r="O19" t="str">
            <v>Large standard-size two lb to three lb (clothing)</v>
          </cell>
        </row>
        <row r="20">
          <cell r="O20" t="str">
            <v>Large standard-size over three lb (clothing)</v>
          </cell>
        </row>
        <row r="23">
          <cell r="B23" t="str">
            <v>Default</v>
          </cell>
          <cell r="C23">
            <v>0.15</v>
          </cell>
          <cell r="E23">
            <v>0.15</v>
          </cell>
          <cell r="F23">
            <v>0.3</v>
          </cell>
        </row>
        <row r="24">
          <cell r="B24" t="str">
            <v xml:space="preserve">Automotive &amp; Powersports </v>
          </cell>
          <cell r="C24">
            <v>0.12</v>
          </cell>
          <cell r="E24">
            <v>0.12</v>
          </cell>
          <cell r="F24">
            <v>0.3</v>
          </cell>
        </row>
        <row r="25">
          <cell r="B25" t="str">
            <v>Beauty</v>
          </cell>
          <cell r="C25">
            <v>0.08</v>
          </cell>
          <cell r="D25">
            <v>0.15</v>
          </cell>
          <cell r="E25">
            <v>0.08</v>
          </cell>
          <cell r="F25">
            <v>0.3</v>
          </cell>
        </row>
        <row r="26">
          <cell r="B26" t="str">
            <v>Camera and Photo</v>
          </cell>
          <cell r="C26">
            <v>0.08</v>
          </cell>
          <cell r="E26">
            <v>0.08</v>
          </cell>
          <cell r="F26">
            <v>0.3</v>
          </cell>
        </row>
        <row r="27">
          <cell r="B27" t="str">
            <v>Cell Phone Devices</v>
          </cell>
          <cell r="C27">
            <v>0.08</v>
          </cell>
          <cell r="E27">
            <v>0.08</v>
          </cell>
          <cell r="F27">
            <v>0.3</v>
          </cell>
        </row>
        <row r="28">
          <cell r="B28" t="str">
            <v>Clothing &amp; Accessories</v>
          </cell>
          <cell r="C28">
            <v>0.17</v>
          </cell>
          <cell r="E28">
            <v>0.17</v>
          </cell>
          <cell r="F28">
            <v>0.3</v>
          </cell>
        </row>
        <row r="29">
          <cell r="B29" t="str">
            <v>Consumer Electronics</v>
          </cell>
          <cell r="C29">
            <v>0.08</v>
          </cell>
          <cell r="E29">
            <v>0.08</v>
          </cell>
          <cell r="F29">
            <v>0.3</v>
          </cell>
        </row>
        <row r="30">
          <cell r="B30" t="str">
            <v xml:space="preserve">Electronics Accessories </v>
          </cell>
          <cell r="C30">
            <v>0.15</v>
          </cell>
          <cell r="D30">
            <v>0.08</v>
          </cell>
          <cell r="E30">
            <v>0.15</v>
          </cell>
          <cell r="F30">
            <v>0.3</v>
          </cell>
        </row>
        <row r="31">
          <cell r="B31" t="str">
            <v>Furniture &amp; Décor</v>
          </cell>
          <cell r="C31">
            <v>0.15</v>
          </cell>
          <cell r="D31">
            <v>0.1</v>
          </cell>
          <cell r="E31">
            <v>0.15</v>
          </cell>
          <cell r="F31">
            <v>0.3</v>
          </cell>
        </row>
        <row r="32">
          <cell r="B32" t="str">
            <v>Grocery &amp; Gourmet Food</v>
          </cell>
          <cell r="C32">
            <v>0.15</v>
          </cell>
          <cell r="E32">
            <v>0.15</v>
          </cell>
          <cell r="F32">
            <v>0.3</v>
          </cell>
        </row>
        <row r="33">
          <cell r="B33" t="str">
            <v>Health &amp; Personal Care</v>
          </cell>
          <cell r="C33">
            <v>0.08</v>
          </cell>
          <cell r="D33">
            <v>0.15</v>
          </cell>
          <cell r="E33">
            <v>0.08</v>
          </cell>
          <cell r="F33">
            <v>0.3</v>
          </cell>
        </row>
        <row r="34">
          <cell r="B34" t="str">
            <v>Home &amp; Garden (including Pet Supplies)</v>
          </cell>
          <cell r="C34">
            <v>0.15</v>
          </cell>
          <cell r="E34">
            <v>0.15</v>
          </cell>
          <cell r="F34">
            <v>0.3</v>
          </cell>
        </row>
        <row r="35">
          <cell r="B35" t="str">
            <v>Jewelry</v>
          </cell>
          <cell r="C35">
            <v>0.2</v>
          </cell>
          <cell r="D35">
            <v>0.05</v>
          </cell>
          <cell r="E35">
            <v>0.2</v>
          </cell>
          <cell r="F35">
            <v>0.3</v>
          </cell>
        </row>
        <row r="36">
          <cell r="B36" t="str">
            <v xml:space="preserve">Kitchen </v>
          </cell>
          <cell r="C36">
            <v>0.15</v>
          </cell>
          <cell r="E36">
            <v>0.15</v>
          </cell>
          <cell r="F36">
            <v>0.3</v>
          </cell>
        </row>
        <row r="37">
          <cell r="B37" t="str">
            <v>Luggage &amp; Travel Accessories</v>
          </cell>
          <cell r="C37">
            <v>0.15</v>
          </cell>
          <cell r="E37">
            <v>0.15</v>
          </cell>
          <cell r="F37">
            <v>0.3</v>
          </cell>
        </row>
        <row r="38">
          <cell r="B38" t="str">
            <v xml:space="preserve">Major Appliances </v>
          </cell>
          <cell r="C38">
            <v>0.15</v>
          </cell>
          <cell r="E38">
            <v>0.15</v>
          </cell>
          <cell r="F38">
            <v>0.3</v>
          </cell>
        </row>
        <row r="39">
          <cell r="B39" t="str">
            <v xml:space="preserve">Musical Instruments </v>
          </cell>
          <cell r="C39">
            <v>0.15</v>
          </cell>
          <cell r="E39">
            <v>0.15</v>
          </cell>
          <cell r="F39">
            <v>0.3</v>
          </cell>
        </row>
        <row r="40">
          <cell r="B40" t="str">
            <v>Office Products</v>
          </cell>
          <cell r="C40">
            <v>0.15</v>
          </cell>
          <cell r="E40">
            <v>0.15</v>
          </cell>
          <cell r="F40">
            <v>0.3</v>
          </cell>
        </row>
        <row r="41">
          <cell r="B41" t="str">
            <v>Outdoors</v>
          </cell>
          <cell r="C41">
            <v>0.15</v>
          </cell>
          <cell r="E41">
            <v>0.15</v>
          </cell>
          <cell r="F41">
            <v>0.3</v>
          </cell>
        </row>
        <row r="42">
          <cell r="B42" t="str">
            <v>Personal Computers</v>
          </cell>
          <cell r="C42">
            <v>0.15</v>
          </cell>
          <cell r="E42">
            <v>0.15</v>
          </cell>
          <cell r="F42">
            <v>0.3</v>
          </cell>
        </row>
        <row r="43">
          <cell r="B43" t="str">
            <v xml:space="preserve">Shoes, Handbags &amp; Sunglasses </v>
          </cell>
          <cell r="C43">
            <v>0.15</v>
          </cell>
          <cell r="E43">
            <v>0.15</v>
          </cell>
          <cell r="F43">
            <v>0.3</v>
          </cell>
        </row>
        <row r="44">
          <cell r="B44" t="str">
            <v xml:space="preserve">Sports (excluding Sports Collectibles) </v>
          </cell>
          <cell r="C44">
            <v>0.15</v>
          </cell>
          <cell r="E44">
            <v>0.15</v>
          </cell>
          <cell r="F44">
            <v>0.3</v>
          </cell>
        </row>
        <row r="45">
          <cell r="B45" t="str">
            <v>Tools &amp; Home Improvement</v>
          </cell>
          <cell r="C45">
            <v>0.15</v>
          </cell>
          <cell r="E45">
            <v>0.15</v>
          </cell>
          <cell r="F45">
            <v>0.3</v>
          </cell>
        </row>
        <row r="46">
          <cell r="B46" t="str">
            <v>Toys &amp; Games</v>
          </cell>
          <cell r="C46">
            <v>0.15</v>
          </cell>
          <cell r="E46">
            <v>0.15</v>
          </cell>
          <cell r="F46">
            <v>0.3</v>
          </cell>
        </row>
        <row r="47">
          <cell r="B47" t="str">
            <v>Watches</v>
          </cell>
          <cell r="C47">
            <v>0.16</v>
          </cell>
          <cell r="D47">
            <v>0.03</v>
          </cell>
          <cell r="E47">
            <v>0.16</v>
          </cell>
          <cell r="F47">
            <v>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ator"/>
      <sheetName val="Formula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7DD85-287B-4023-AC5F-C5C6A469F4FB}">
  <dimension ref="A1:BX3"/>
  <sheetViews>
    <sheetView tabSelected="1" topLeftCell="AX1" zoomScaleNormal="100" workbookViewId="0">
      <selection activeCell="BD9" sqref="BD9"/>
    </sheetView>
  </sheetViews>
  <sheetFormatPr defaultColWidth="9.1796875" defaultRowHeight="14.5"/>
  <cols>
    <col min="1" max="1" width="10.1796875" style="7" customWidth="1"/>
    <col min="2" max="2" width="10" style="1" customWidth="1"/>
    <col min="3" max="3" width="12.453125" style="1" customWidth="1"/>
    <col min="4" max="4" width="12.81640625" style="1" customWidth="1"/>
    <col min="5" max="5" width="9.08984375" style="1" customWidth="1"/>
    <col min="6" max="6" width="15.54296875" style="1" customWidth="1"/>
    <col min="7" max="7" width="9.1796875" style="1" customWidth="1"/>
    <col min="8" max="8" width="19.453125" style="1" customWidth="1"/>
    <col min="9" max="9" width="21" style="1" customWidth="1"/>
    <col min="10" max="10" width="11.1796875" style="1" customWidth="1"/>
    <col min="11" max="11" width="12.36328125" style="1" customWidth="1"/>
    <col min="12" max="12" width="18" style="1" customWidth="1"/>
    <col min="13" max="13" width="6.81640625" style="1" customWidth="1"/>
    <col min="14" max="15" width="8.81640625" style="1" customWidth="1"/>
    <col min="16" max="16" width="13.81640625" style="1" customWidth="1"/>
    <col min="17" max="17" width="8.81640625" style="5" customWidth="1"/>
    <col min="18" max="18" width="9.453125" style="1" customWidth="1"/>
    <col min="19" max="19" width="11.7265625" style="3" customWidth="1"/>
    <col min="20" max="20" width="8.1796875" style="69" customWidth="1"/>
    <col min="21" max="21" width="8.7265625" style="70" customWidth="1"/>
    <col min="22" max="22" width="8.7265625" style="71" customWidth="1"/>
    <col min="23" max="23" width="12.36328125" style="69" customWidth="1"/>
    <col min="24" max="24" width="9.81640625" style="69" customWidth="1"/>
    <col min="25" max="25" width="9" style="69" customWidth="1"/>
    <col min="26" max="26" width="6.26953125" style="3" customWidth="1"/>
    <col min="27" max="27" width="7.54296875" style="71" customWidth="1"/>
    <col min="28" max="28" width="6.6328125" style="3" customWidth="1"/>
    <col min="29" max="29" width="7.81640625" style="1" customWidth="1"/>
    <col min="30" max="30" width="9" style="5" customWidth="1"/>
    <col min="31" max="31" width="14.1796875" style="1" customWidth="1"/>
    <col min="32" max="32" width="8.453125" style="4" customWidth="1"/>
    <col min="33" max="33" width="10.7265625" style="5" customWidth="1"/>
    <col min="34" max="34" width="11.26953125" style="5" customWidth="1"/>
    <col min="35" max="35" width="11.54296875" style="5" customWidth="1"/>
    <col min="36" max="36" width="8.26953125" style="5" customWidth="1"/>
    <col min="37" max="37" width="11.54296875" style="4" customWidth="1"/>
    <col min="38" max="38" width="9" style="69" customWidth="1"/>
    <col min="39" max="39" width="9" style="3" customWidth="1"/>
    <col min="40" max="40" width="9" style="71" customWidth="1"/>
    <col min="41" max="41" width="9" style="3" customWidth="1"/>
    <col min="42" max="42" width="9" style="71" customWidth="1"/>
    <col min="43" max="43" width="9" style="3" customWidth="1"/>
    <col min="44" max="44" width="10" style="72" customWidth="1"/>
    <col min="45" max="45" width="10" style="4" customWidth="1"/>
    <col min="46" max="46" width="9" style="3" customWidth="1"/>
    <col min="47" max="47" width="11.08984375" style="3" customWidth="1"/>
    <col min="48" max="48" width="7.08984375" style="5" customWidth="1"/>
    <col min="49" max="49" width="6.90625" style="4" customWidth="1"/>
    <col min="50" max="50" width="9.1796875" style="5" customWidth="1"/>
    <col min="51" max="51" width="8.1796875" style="4" customWidth="1"/>
    <col min="52" max="52" width="6.90625" style="5" customWidth="1"/>
    <col min="53" max="53" width="10.6328125" style="5" customWidth="1"/>
    <col min="54" max="54" width="9.81640625" style="5" customWidth="1"/>
    <col min="55" max="55" width="8" style="5" customWidth="1"/>
    <col min="56" max="56" width="9.6328125" style="5" customWidth="1"/>
    <col min="57" max="57" width="10.81640625" style="5" customWidth="1"/>
    <col min="58" max="58" width="8.1796875" style="4" customWidth="1"/>
    <col min="59" max="61" width="8.1796875" style="5" customWidth="1"/>
    <col min="62" max="62" width="7.54296875" style="5" customWidth="1"/>
    <col min="63" max="63" width="8.1796875" style="4" customWidth="1"/>
    <col min="64" max="64" width="7.6328125" style="5" customWidth="1"/>
    <col min="65" max="65" width="8.1796875" style="4" customWidth="1"/>
    <col min="66" max="66" width="7.54296875" style="5" customWidth="1"/>
    <col min="67" max="68" width="8.1796875" style="4" customWidth="1"/>
    <col min="69" max="69" width="14.7265625" style="4" customWidth="1"/>
    <col min="70" max="70" width="8.1796875" style="4" customWidth="1"/>
    <col min="71" max="72" width="11.26953125" style="6" customWidth="1"/>
    <col min="73" max="75" width="10.36328125" style="5" customWidth="1"/>
    <col min="76" max="76" width="10.36328125" style="4" customWidth="1"/>
    <col min="77" max="16384" width="9.1796875" style="1"/>
  </cols>
  <sheetData>
    <row r="1" spans="1:76" ht="58" customHeight="1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1" t="s">
        <v>5</v>
      </c>
      <c r="G1" s="9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12" t="s">
        <v>17</v>
      </c>
      <c r="S1" s="13" t="s">
        <v>18</v>
      </c>
      <c r="T1" s="14" t="s">
        <v>19</v>
      </c>
      <c r="U1" s="15" t="s">
        <v>20</v>
      </c>
      <c r="V1" s="16" t="s">
        <v>21</v>
      </c>
      <c r="W1" s="17" t="s">
        <v>22</v>
      </c>
      <c r="X1" s="18" t="s">
        <v>23</v>
      </c>
      <c r="Y1" s="19" t="s">
        <v>24</v>
      </c>
      <c r="Z1" s="19" t="s">
        <v>25</v>
      </c>
      <c r="AA1" s="19" t="s">
        <v>26</v>
      </c>
      <c r="AB1" s="13" t="s">
        <v>27</v>
      </c>
      <c r="AC1" s="20" t="s">
        <v>28</v>
      </c>
      <c r="AD1" s="21" t="s">
        <v>29</v>
      </c>
      <c r="AE1" s="22" t="s">
        <v>30</v>
      </c>
      <c r="AF1" s="8" t="s">
        <v>31</v>
      </c>
      <c r="AG1" s="23" t="s">
        <v>32</v>
      </c>
      <c r="AH1" s="8" t="s">
        <v>33</v>
      </c>
      <c r="AI1" s="24" t="s">
        <v>34</v>
      </c>
      <c r="AJ1" s="25" t="s">
        <v>35</v>
      </c>
      <c r="AK1" s="23" t="s">
        <v>36</v>
      </c>
      <c r="AL1" s="26" t="s">
        <v>37</v>
      </c>
      <c r="AM1" s="26" t="s">
        <v>38</v>
      </c>
      <c r="AN1" s="26" t="s">
        <v>39</v>
      </c>
      <c r="AO1" s="27" t="s">
        <v>40</v>
      </c>
      <c r="AP1" s="28" t="s">
        <v>41</v>
      </c>
      <c r="AQ1" s="28" t="s">
        <v>42</v>
      </c>
      <c r="AR1" s="29" t="s">
        <v>43</v>
      </c>
      <c r="AS1" s="30" t="s">
        <v>44</v>
      </c>
      <c r="AT1" s="28" t="s">
        <v>45</v>
      </c>
      <c r="AU1" s="28" t="s">
        <v>46</v>
      </c>
      <c r="AV1" s="31" t="s">
        <v>47</v>
      </c>
      <c r="AW1" s="32" t="s">
        <v>48</v>
      </c>
      <c r="AX1" s="31" t="s">
        <v>49</v>
      </c>
      <c r="AY1" s="32" t="s">
        <v>50</v>
      </c>
      <c r="AZ1" s="33" t="s">
        <v>51</v>
      </c>
      <c r="BA1" s="31" t="s">
        <v>52</v>
      </c>
      <c r="BB1" s="32" t="s">
        <v>53</v>
      </c>
      <c r="BC1" s="32" t="s">
        <v>54</v>
      </c>
      <c r="BD1" s="34" t="s">
        <v>55</v>
      </c>
      <c r="BE1" s="35" t="s">
        <v>56</v>
      </c>
      <c r="BF1" s="35" t="s">
        <v>57</v>
      </c>
      <c r="BG1" s="36" t="s">
        <v>58</v>
      </c>
      <c r="BH1" s="36" t="s">
        <v>59</v>
      </c>
      <c r="BI1" s="35" t="s">
        <v>60</v>
      </c>
      <c r="BJ1" s="37" t="s">
        <v>61</v>
      </c>
      <c r="BK1" s="35" t="s">
        <v>62</v>
      </c>
      <c r="BL1" s="37" t="s">
        <v>63</v>
      </c>
      <c r="BM1" s="35" t="s">
        <v>64</v>
      </c>
      <c r="BN1" s="37" t="s">
        <v>65</v>
      </c>
      <c r="BO1" s="35" t="s">
        <v>66</v>
      </c>
      <c r="BP1" s="35" t="s">
        <v>67</v>
      </c>
      <c r="BQ1" s="38" t="s">
        <v>68</v>
      </c>
      <c r="BR1" s="38" t="s">
        <v>69</v>
      </c>
      <c r="BS1" s="39" t="s">
        <v>70</v>
      </c>
      <c r="BT1" s="39" t="s">
        <v>71</v>
      </c>
      <c r="BU1" s="40" t="s">
        <v>72</v>
      </c>
      <c r="BV1" s="41" t="s">
        <v>73</v>
      </c>
      <c r="BW1" s="39" t="s">
        <v>74</v>
      </c>
      <c r="BX1" s="39" t="s">
        <v>75</v>
      </c>
    </row>
    <row r="2" spans="1:76" s="66" customFormat="1" ht="26">
      <c r="A2" s="42">
        <v>1</v>
      </c>
      <c r="B2" s="43"/>
      <c r="C2" s="43"/>
      <c r="D2" s="43" t="s">
        <v>76</v>
      </c>
      <c r="E2" s="43"/>
      <c r="F2" s="43" t="s">
        <v>77</v>
      </c>
      <c r="G2" s="44"/>
      <c r="H2" s="45" t="s">
        <v>78</v>
      </c>
      <c r="I2" s="45" t="s">
        <v>79</v>
      </c>
      <c r="J2" s="42" t="s">
        <v>80</v>
      </c>
      <c r="K2" s="43" t="s">
        <v>81</v>
      </c>
      <c r="L2" s="46" t="s">
        <v>82</v>
      </c>
      <c r="M2" s="46" t="s">
        <v>83</v>
      </c>
      <c r="N2" s="43"/>
      <c r="O2" s="43" t="s">
        <v>84</v>
      </c>
      <c r="P2" s="43" t="s">
        <v>85</v>
      </c>
      <c r="Q2" s="43"/>
      <c r="R2" s="43" t="s">
        <v>86</v>
      </c>
      <c r="S2" s="47">
        <v>500</v>
      </c>
      <c r="T2" s="48">
        <v>19.75</v>
      </c>
      <c r="U2" s="49">
        <v>171.72</v>
      </c>
      <c r="V2" s="50">
        <v>8.1</v>
      </c>
      <c r="W2" s="51">
        <f>IF(ISERROR(U2/V2),"",U2/V2)</f>
        <v>21.2</v>
      </c>
      <c r="X2" s="43" t="s">
        <v>87</v>
      </c>
      <c r="Y2" s="52">
        <v>45</v>
      </c>
      <c r="Z2" s="52">
        <v>33</v>
      </c>
      <c r="AA2" s="52">
        <v>37</v>
      </c>
      <c r="AB2" s="47">
        <v>1</v>
      </c>
      <c r="AC2" s="53">
        <f t="shared" ref="AC2:AC3" si="0">IF(Y2="","",Y2*Z2*AA2/1000000)</f>
        <v>5.5E-2</v>
      </c>
      <c r="AD2" s="54">
        <v>56</v>
      </c>
      <c r="AE2" s="55">
        <f t="shared" ref="AE2:AE3" si="1">IF(AB2="","",AD2/AC2*AB2)</f>
        <v>1018</v>
      </c>
      <c r="AF2" s="56">
        <v>2500</v>
      </c>
      <c r="AG2" s="51">
        <f>IF(ISERROR(AF2/AE2),"",AF2/AE2)</f>
        <v>2.46</v>
      </c>
      <c r="AH2" s="43" t="s">
        <v>88</v>
      </c>
      <c r="AI2" s="57">
        <v>7.2999999999999995E-2</v>
      </c>
      <c r="AJ2" s="51">
        <f t="shared" ref="AJ2:AJ3" si="2">IF(ISERROR(W2*AI2),"",W2*AI2)</f>
        <v>1.55</v>
      </c>
      <c r="AK2" s="51">
        <f t="shared" ref="AK2:AK3" si="3">IF(ISERROR(W2+AG2+AJ2),"",W2+AG2+AJ2)</f>
        <v>25.21</v>
      </c>
      <c r="AL2" s="52">
        <v>17.8</v>
      </c>
      <c r="AM2" s="52">
        <v>13</v>
      </c>
      <c r="AN2" s="52">
        <v>14.5</v>
      </c>
      <c r="AO2" s="55">
        <f>IF(AM2="","",2*(AM2+AN2))</f>
        <v>55</v>
      </c>
      <c r="AP2" s="58">
        <f>IF(AL2="","",AL2*AM2*AN2/12/12/12)</f>
        <v>1.94</v>
      </c>
      <c r="AQ2" s="58">
        <f>IF(AL2="","",AM2*AN2*AL2/139)</f>
        <v>24.14</v>
      </c>
      <c r="AR2" s="54">
        <v>24.3</v>
      </c>
      <c r="AS2" s="59">
        <v>0.2</v>
      </c>
      <c r="AT2" s="60">
        <f>MAX(AQ2:AR2)*(1+AS2)</f>
        <v>29.16</v>
      </c>
      <c r="AU2" s="61" t="str">
        <f>IF(AND(BD2="Clothing &amp; Accessories",$AT2&lt;=[1]Formulas!B$3,$AL2&lt;=[1]Formulas!C$3,$AM2&lt;=[1]Formulas!D$3,$AN2&lt;=[1]Formulas!E$3), "Standard-size less than 10oz (clothing)",IF(AND(BD2="Clothing &amp; Accessories",$AT2&lt;=[1]Formulas!B$4,$AL2&lt;=[1]Formulas!C$4,$AM2&lt;=[1]Formulas!D$4,$AN2&lt;=[1]Formulas!E$4),"Standard-size small 10-16oz (clothing)",IF(AND(BD2="Clothing &amp; Accessories",$AT2&lt;=[1]Formulas!B$5,$AL2&lt;=[1]Formulas!C$5,$AM2&lt;=[1]Formulas!D$5,$AN2&lt;=[1]Formulas!E$5),"Large standard-size less than 10oz (clothing)",IF(AND(BD2="Clothing &amp; Accessories",$AT2&lt;=[1]Formulas!B$6,$AL2&lt;=[1]Formulas!C$6,$AM2&lt;=[1]Formulas!D$6,$AN2&lt;=[1]Formulas!E$6),"Large standard-size 10-16oz (clothing)",IF(AND(BD2="Clothing &amp; Accessories",$AT2&lt;=[1]Formulas!B$5,$AL2&lt;=[1]Formulas!C$5,$AM2&lt;=[1]Formulas!D$5,$AN2&lt;=[1]Formulas!E$5),"Large standard-size 10-16oz (clothing)",IF(AND(BD2="Clothing &amp; Accessories",$AT2&lt;=[1]Formulas!B$7,$AL2&lt;=[1]Formulas!C$7,$AM2&lt;=[1]Formulas!D$7,$AN2&lt;=[1]Formulas!E$7),"Large standard-size one lb to two lb (clothing)",IF(AND(BD2="Clothing &amp; Accessories",$AT2&lt;=[1]Formulas!B$8,$AL2&lt;=[1]Formulas!C$8,$AM2&lt;=[1]Formulas!D$8,$AN2&lt;=[1]Formulas!E$8),"Large standard-size two lb to three lb (clothing)",IF(AND(BD2="Clothing &amp; Accessories",$AT2&lt;=[1]Formulas!B$9,$AL2&lt;=[1]Formulas!C$9,$AM2&lt;=[1]Formulas!D$9,$AN2&lt;=[1]Formulas!E$9),"Large standard-size over three lb (clothing)",IF(AND($AT2&lt;=[1]Formulas!B$3,$AL2&lt;=[1]Formulas!C$3,$AM2&lt;=[1]Formulas!D$3,$AN2&lt;=[1]Formulas!E$3),"Standard-size less than 10oz",IF(AND($AT2&lt;=[1]Formulas!B$4,$AL2&lt;=[1]Formulas!C$4,$AM2&lt;=[1]Formulas!D$4,$AN2&lt;=[1]Formulas!E$4),"Standard-size small 10-16oz",IF(AND($AT2&lt;=[1]Formulas!B$5,$AL2&lt;=[1]Formulas!C$5,$AM2&lt;=[1]Formulas!D$5,$AN2&lt;=[1]Formulas!E$5),"Large standard-size less than 10oz",IF(AND($AT2&lt;=[1]Formulas!B$6,$AL2&lt;=[1]Formulas!C$6,$AM2&lt;=[1]Formulas!D$6,$AN2&lt;=[1]Formulas!E$6),"Large standard-size 10-16oz",IF(AND($AT2&lt;=[1]Formulas!B$7,$AL2&lt;=[1]Formulas!C$7,$AM2&lt;=[1]Formulas!D$7,$AN2&lt;=[1]Formulas!E$7),"Large standard-size one lb to two lb",IF(AND($AT2&lt;=[1]Formulas!B$8,$AL2&lt;=[1]Formulas!C$8,$AM2&lt;=[1]Formulas!D$8,$AN2&lt;=[1]Formulas!E$8),"Large standard-size two lb to three lb",IF(AND($AT2&lt;=[1]Formulas!B$9,$AL2&lt;=[1]Formulas!C$9,$AM2&lt;=[1]Formulas!D$9,$AN2&lt;=[1]Formulas!E$9),"Large standard-size over three lb",IF(AND($AT2&lt;=[1]Formulas!B$10,$AL2&lt;=[1]Formulas!C$10,$AM2&lt;=[1]Formulas!D$10,($AL2+$AO2)&lt;=[1]Formulas!F$10),"Small oversize",IF(AND($AT2&lt;=[1]Formulas!B$11,$AL2&lt;=[1]Formulas!C$11,($AL2+$AO2)&lt;=[1]Formulas!F$11),"Medium oversize",IF(AND($AT2&lt;=[1]Formulas!B$12,$AL2&lt;=[1]Formulas!C$12,($AL2+$AO2)&lt;=[1]Formulas!F$12),"Large oversize","Special oversize"))))))))))))))))))</f>
        <v>Small oversize</v>
      </c>
      <c r="AV2" s="59">
        <v>0.06</v>
      </c>
      <c r="AW2" s="51">
        <f t="shared" ref="AW2:AW3" si="4">IF(ISERROR(BU2*AV2),"",BU2*AV2)</f>
        <v>4.66</v>
      </c>
      <c r="AX2" s="59">
        <v>0</v>
      </c>
      <c r="AY2" s="51">
        <f t="shared" ref="AY2:AY3" si="5">IF(ISERROR(BU2*AX2),"",BU2*AX2)</f>
        <v>0</v>
      </c>
      <c r="AZ2" s="62">
        <v>0</v>
      </c>
      <c r="BA2" s="59">
        <v>0.02</v>
      </c>
      <c r="BB2" s="51">
        <f>IF(ISERROR(BU2*BA2),"",BU2*BA2)</f>
        <v>1.55</v>
      </c>
      <c r="BC2" s="51">
        <f>IF(ISERROR(AW2+AY2+AZ2+BB2),"",AW2+AY2+AZ2+BB2)</f>
        <v>6.21</v>
      </c>
      <c r="BD2" s="62" t="s">
        <v>89</v>
      </c>
      <c r="BE2" s="63">
        <f>VLOOKUP(BD2,[1]Formulas!$B$23:$F$47,2,0)</f>
        <v>0.15</v>
      </c>
      <c r="BF2" s="51">
        <f>IF(ISERROR(BU2*BE2),"",BU2*BE2)</f>
        <v>11.64</v>
      </c>
      <c r="BG2" s="64">
        <v>14.99</v>
      </c>
      <c r="BH2" s="2">
        <v>1.5</v>
      </c>
      <c r="BI2" s="51">
        <f ca="1">AVERAGE(OFFSET([1]Formulas!$M$3:$N$3,MATCH($AU2,[1]Formulas!$O$3:$O$20,0)-1,0))*BH2*AP2</f>
        <v>2.44</v>
      </c>
      <c r="BJ2" s="59">
        <v>0.1</v>
      </c>
      <c r="BK2" s="51">
        <f>IF(ISERROR(BU2*BJ2),"",BU2*BJ2)</f>
        <v>7.76</v>
      </c>
      <c r="BL2" s="59">
        <v>0.03</v>
      </c>
      <c r="BM2" s="51">
        <f>IF(ISERROR(BU2*BL2),"",BU2*BL2)</f>
        <v>2.33</v>
      </c>
      <c r="BN2" s="59">
        <v>7.4999999999999997E-3</v>
      </c>
      <c r="BO2" s="51">
        <f>IF(ISERROR(BU2*BN2),"",BU2*BN2)</f>
        <v>0.57999999999999996</v>
      </c>
      <c r="BP2" s="51">
        <f ca="1">IF(ISERROR(BF2+BG2+BI2+BK2+BM2+BO2),"",BF2+BG2+BI2+BK2+BM2+BO2)</f>
        <v>39.74</v>
      </c>
      <c r="BQ2" s="51">
        <f ca="1">IF(ISERROR(BC2+BP2),"",BC2+BP2)</f>
        <v>45.95</v>
      </c>
      <c r="BR2" s="51">
        <f>IF(ISERROR(AK2+AY2),"",AK2+AY2)</f>
        <v>25.21</v>
      </c>
      <c r="BS2" s="65">
        <f ca="1">IF(ISERROR((BT2-BR2)/BT2),"",(BT2-BR2)/BT2)</f>
        <v>0.20319999999999999</v>
      </c>
      <c r="BT2" s="51">
        <f ca="1">IF(ISERROR(BU2-AW2-AZ2-BB2-BP2),"",BU2-AW2-AZ2-BB2-BP2)</f>
        <v>31.64</v>
      </c>
      <c r="BU2" s="58">
        <f>IF(BV2="","",BV2*(1-BL2))</f>
        <v>77.59</v>
      </c>
      <c r="BV2" s="62">
        <v>79.989999999999995</v>
      </c>
      <c r="BW2" s="51">
        <f ca="1">IF(ISERROR(AK2+BQ2),"",AK2+BQ2)</f>
        <v>71.16</v>
      </c>
      <c r="BX2" s="63">
        <f ca="1">IF(ISERROR(BQ2/BU2),"",BQ2/BU2-6%)</f>
        <v>0.53220000000000001</v>
      </c>
    </row>
    <row r="3" spans="1:76" s="66" customFormat="1" ht="32.5" customHeight="1">
      <c r="A3" s="42">
        <v>2</v>
      </c>
      <c r="B3" s="43"/>
      <c r="C3" s="43"/>
      <c r="D3" s="43" t="s">
        <v>76</v>
      </c>
      <c r="E3" s="43"/>
      <c r="F3" s="43" t="s">
        <v>77</v>
      </c>
      <c r="G3" s="44"/>
      <c r="H3" s="43" t="s">
        <v>90</v>
      </c>
      <c r="I3" s="43" t="s">
        <v>91</v>
      </c>
      <c r="J3" s="42" t="s">
        <v>92</v>
      </c>
      <c r="K3" s="43" t="s">
        <v>81</v>
      </c>
      <c r="L3" s="43" t="s">
        <v>93</v>
      </c>
      <c r="M3" s="46" t="s">
        <v>83</v>
      </c>
      <c r="N3" s="43"/>
      <c r="O3" s="43" t="s">
        <v>94</v>
      </c>
      <c r="P3" s="43" t="s">
        <v>95</v>
      </c>
      <c r="Q3" s="43"/>
      <c r="R3" s="43" t="s">
        <v>86</v>
      </c>
      <c r="S3" s="47">
        <v>30</v>
      </c>
      <c r="T3" s="48">
        <v>7.83</v>
      </c>
      <c r="U3" s="49">
        <v>66.58</v>
      </c>
      <c r="V3" s="50">
        <v>8.1</v>
      </c>
      <c r="W3" s="51">
        <f t="shared" ref="W3" si="6">IF(ISERROR(U3/V3),"",U3/V3)</f>
        <v>8.2200000000000006</v>
      </c>
      <c r="X3" s="43" t="s">
        <v>87</v>
      </c>
      <c r="Y3" s="52">
        <v>43</v>
      </c>
      <c r="Z3" s="52">
        <v>59</v>
      </c>
      <c r="AA3" s="52">
        <v>46</v>
      </c>
      <c r="AB3" s="47">
        <v>10</v>
      </c>
      <c r="AC3" s="53">
        <f t="shared" si="0"/>
        <v>0.11700000000000001</v>
      </c>
      <c r="AD3" s="54">
        <v>56</v>
      </c>
      <c r="AE3" s="55">
        <f t="shared" si="1"/>
        <v>4786</v>
      </c>
      <c r="AF3" s="56">
        <v>2500</v>
      </c>
      <c r="AG3" s="51">
        <f t="shared" ref="AG3" si="7">IF(ISERROR(AF3/AE3),"",AF3/AE3)</f>
        <v>0.52</v>
      </c>
      <c r="AH3" s="43" t="s">
        <v>96</v>
      </c>
      <c r="AI3" s="57">
        <v>0.114</v>
      </c>
      <c r="AJ3" s="51">
        <f t="shared" si="2"/>
        <v>0.94</v>
      </c>
      <c r="AK3" s="51">
        <f t="shared" si="3"/>
        <v>9.68</v>
      </c>
      <c r="AL3" s="52">
        <v>16</v>
      </c>
      <c r="AM3" s="52">
        <v>11.5</v>
      </c>
      <c r="AN3" s="52">
        <v>4</v>
      </c>
      <c r="AO3" s="55">
        <f t="shared" ref="AO3" si="8">IF(AM3="","",2*(AM3+AN3))</f>
        <v>31</v>
      </c>
      <c r="AP3" s="58">
        <f t="shared" ref="AP3" si="9">IF(AL3="","",AL3*AM3*AN3/12/12/12)</f>
        <v>0.43</v>
      </c>
      <c r="AQ3" s="58">
        <f t="shared" ref="AQ3" si="10">IF(AL3="","",AM3*AN3*AL3/139)</f>
        <v>5.29</v>
      </c>
      <c r="AR3" s="54">
        <v>2.96</v>
      </c>
      <c r="AS3" s="59">
        <v>0.2</v>
      </c>
      <c r="AT3" s="60">
        <f t="shared" ref="AT3" si="11">MAX(AQ3:AR3)*(1+AS3)</f>
        <v>6.35</v>
      </c>
      <c r="AU3" s="61" t="str">
        <f>IF(AND(BD3="Clothing &amp; Accessories",$AT3&lt;=[1]Formulas!B$3,$AL3&lt;=[1]Formulas!C$3,$AM3&lt;=[1]Formulas!D$3,$AN3&lt;=[1]Formulas!E$3), "Standard-size less than 10oz (clothing)",IF(AND(BD3="Clothing &amp; Accessories",$AT3&lt;=[1]Formulas!B$4,$AL3&lt;=[1]Formulas!C$4,$AM3&lt;=[1]Formulas!D$4,$AN3&lt;=[1]Formulas!E$4),"Standard-size small 10-16oz (clothing)",IF(AND(BD3="Clothing &amp; Accessories",$AT3&lt;=[1]Formulas!B$5,$AL3&lt;=[1]Formulas!C$5,$AM3&lt;=[1]Formulas!D$5,$AN3&lt;=[1]Formulas!E$5),"Large standard-size less than 10oz (clothing)",IF(AND(BD3="Clothing &amp; Accessories",$AT3&lt;=[1]Formulas!B$6,$AL3&lt;=[1]Formulas!C$6,$AM3&lt;=[1]Formulas!D$6,$AN3&lt;=[1]Formulas!E$6),"Large standard-size 10-16oz (clothing)",IF(AND(BD3="Clothing &amp; Accessories",$AT3&lt;=[1]Formulas!B$5,$AL3&lt;=[1]Formulas!C$5,$AM3&lt;=[1]Formulas!D$5,$AN3&lt;=[1]Formulas!E$5),"Large standard-size 10-16oz (clothing)",IF(AND(BD3="Clothing &amp; Accessories",$AT3&lt;=[1]Formulas!B$7,$AL3&lt;=[1]Formulas!C$7,$AM3&lt;=[1]Formulas!D$7,$AN3&lt;=[1]Formulas!E$7),"Large standard-size one lb to two lb (clothing)",IF(AND(BD3="Clothing &amp; Accessories",$AT3&lt;=[1]Formulas!B$8,$AL3&lt;=[1]Formulas!C$8,$AM3&lt;=[1]Formulas!D$8,$AN3&lt;=[1]Formulas!E$8),"Large standard-size two lb to three lb (clothing)",IF(AND(BD3="Clothing &amp; Accessories",$AT3&lt;=[1]Formulas!B$9,$AL3&lt;=[1]Formulas!C$9,$AM3&lt;=[1]Formulas!D$9,$AN3&lt;=[1]Formulas!E$9),"Large standard-size over three lb (clothing)",IF(AND($AT3&lt;=[1]Formulas!B$3,$AL3&lt;=[1]Formulas!C$3,$AM3&lt;=[1]Formulas!D$3,$AN3&lt;=[1]Formulas!E$3),"Standard-size less than 10oz",IF(AND($AT3&lt;=[1]Formulas!B$4,$AL3&lt;=[1]Formulas!C$4,$AM3&lt;=[1]Formulas!D$4,$AN3&lt;=[1]Formulas!E$4),"Standard-size small 10-16oz",IF(AND($AT3&lt;=[1]Formulas!B$5,$AL3&lt;=[1]Formulas!C$5,$AM3&lt;=[1]Formulas!D$5,$AN3&lt;=[1]Formulas!E$5),"Large standard-size less than 10oz",IF(AND($AT3&lt;=[1]Formulas!B$6,$AL3&lt;=[1]Formulas!C$6,$AM3&lt;=[1]Formulas!D$6,$AN3&lt;=[1]Formulas!E$6),"Large standard-size 10-16oz",IF(AND($AT3&lt;=[1]Formulas!B$7,$AL3&lt;=[1]Formulas!C$7,$AM3&lt;=[1]Formulas!D$7,$AN3&lt;=[1]Formulas!E$7),"Large standard-size one lb to two lb",IF(AND($AT3&lt;=[1]Formulas!B$8,$AL3&lt;=[1]Formulas!C$8,$AM3&lt;=[1]Formulas!D$8,$AN3&lt;=[1]Formulas!E$8),"Large standard-size two lb to three lb",IF(AND($AT3&lt;=[1]Formulas!B$9,$AL3&lt;=[1]Formulas!C$9,$AM3&lt;=[1]Formulas!D$9,$AN3&lt;=[1]Formulas!E$9),"Large standard-size over three lb",IF(AND($AT3&lt;=[1]Formulas!B$10,$AL3&lt;=[1]Formulas!C$10,$AM3&lt;=[1]Formulas!D$10,($AL3+$AO3)&lt;=[1]Formulas!F$10),"Small oversize",IF(AND($AT3&lt;=[1]Formulas!B$11,$AL3&lt;=[1]Formulas!C$11,($AL3+$AO3)&lt;=[1]Formulas!F$11),"Medium oversize",IF(AND($AT3&lt;=[1]Formulas!B$12,$AL3&lt;=[1]Formulas!C$12,($AL3+$AO3)&lt;=[1]Formulas!F$12),"Large oversize","Special oversize"))))))))))))))))))</f>
        <v>Large standard-size over three lb</v>
      </c>
      <c r="AV3" s="59">
        <v>0.06</v>
      </c>
      <c r="AW3" s="51">
        <f t="shared" si="4"/>
        <v>2.33</v>
      </c>
      <c r="AX3" s="59">
        <v>0</v>
      </c>
      <c r="AY3" s="51">
        <f t="shared" si="5"/>
        <v>0</v>
      </c>
      <c r="AZ3" s="62">
        <v>0</v>
      </c>
      <c r="BA3" s="59">
        <v>0.02</v>
      </c>
      <c r="BB3" s="51">
        <f t="shared" ref="BB3" si="12">IF(ISERROR(BU3*BA3),"",BU3*BA3)</f>
        <v>0.78</v>
      </c>
      <c r="BC3" s="51">
        <f t="shared" ref="BC3" si="13">IF(ISERROR(AW3+AY3+AZ3+BB3),"",AW3+AY3+AZ3+BB3)</f>
        <v>3.11</v>
      </c>
      <c r="BD3" s="62" t="s">
        <v>89</v>
      </c>
      <c r="BE3" s="63">
        <f>VLOOKUP(BD3,[1]Formulas!$B$23:$F$47,2,0)</f>
        <v>0.15</v>
      </c>
      <c r="BF3" s="51">
        <f t="shared" ref="BF3" si="14">IF(ISERROR(BU3*BE3),"",BU3*BE3)</f>
        <v>5.82</v>
      </c>
      <c r="BG3" s="67">
        <f ca="1">MAX(ROUNDUP($AT3+OFFSET([1]Formulas!$G$3,MATCH($AU3,[1]Formulas!$O$3:$O$20,0)-1,0),0)-OFFSET([1]Formulas!$H$3,MATCH($AU3,[1]Formulas!$O$3:$O$20,0)-1,0),0)*OFFSET([1]Formulas!$K$3,MATCH($AU3,[1]Formulas!$O$3:$O$20,0)-1,0)+OFFSET([1]Formulas!$J$3,MATCH($AU3,[1]Formulas!$O$3:$O$20,0)-1,0)</f>
        <v>6.94</v>
      </c>
      <c r="BH3" s="68">
        <v>1.5</v>
      </c>
      <c r="BI3" s="51">
        <f ca="1">AVERAGE(OFFSET([1]Formulas!$M$3:$N$3,MATCH($AU3,[1]Formulas!$O$3:$O$20,0)-1,0))*BH3*AP3</f>
        <v>1.02</v>
      </c>
      <c r="BJ3" s="59">
        <v>0.1</v>
      </c>
      <c r="BK3" s="51">
        <f t="shared" ref="BK3" si="15">IF(ISERROR(BU3*BJ3),"",BU3*BJ3)</f>
        <v>3.88</v>
      </c>
      <c r="BL3" s="59">
        <v>0.03</v>
      </c>
      <c r="BM3" s="51">
        <f t="shared" ref="BM3" si="16">IF(ISERROR(BU3*BL3),"",BU3*BL3)</f>
        <v>1.1599999999999999</v>
      </c>
      <c r="BN3" s="59">
        <v>7.4999999999999997E-3</v>
      </c>
      <c r="BO3" s="51">
        <f t="shared" ref="BO3" si="17">IF(ISERROR(BU3*BN3),"",BU3*BN3)</f>
        <v>0.28999999999999998</v>
      </c>
      <c r="BP3" s="51">
        <f t="shared" ref="BP3" ca="1" si="18">IF(ISERROR(BF3+BG3+BI3+BK3+BM3+BO3),"",BF3+BG3+BI3+BK3+BM3+BO3)</f>
        <v>19.11</v>
      </c>
      <c r="BQ3" s="51">
        <f t="shared" ref="BQ3" ca="1" si="19">IF(ISERROR(BC3+BP3),"",BC3+BP3)</f>
        <v>22.22</v>
      </c>
      <c r="BR3" s="51">
        <f t="shared" ref="BR3" si="20">IF(ISERROR(AK3+AY3),"",AK3+AY3)</f>
        <v>9.68</v>
      </c>
      <c r="BS3" s="65">
        <f t="shared" ref="BS3" ca="1" si="21">IF(ISERROR((BT3-BR3)/BT3),"",(BT3-BR3)/BT3)</f>
        <v>0.4158</v>
      </c>
      <c r="BT3" s="51">
        <f t="shared" ref="BT3" ca="1" si="22">IF(ISERROR(BU3-AW3-AZ3-BB3-BP3),"",BU3-AW3-AZ3-BB3-BP3)</f>
        <v>16.57</v>
      </c>
      <c r="BU3" s="58">
        <f t="shared" ref="BU3" si="23">IF(BV3="","",BV3*(1-BL3))</f>
        <v>38.79</v>
      </c>
      <c r="BV3" s="62">
        <v>39.99</v>
      </c>
      <c r="BW3" s="51">
        <f t="shared" ref="BW3" ca="1" si="24">IF(ISERROR(AK3+BQ3),"",AK3+BQ3)</f>
        <v>31.9</v>
      </c>
      <c r="BX3" s="63">
        <f t="shared" ref="BX3" ca="1" si="25">IF(ISERROR(BQ3/BU3),"",BQ3/BU3-6%)</f>
        <v>0.51280000000000003</v>
      </c>
    </row>
  </sheetData>
  <sheetProtection insertRows="0" deleteRows="0" sort="0"/>
  <protectedRanges>
    <protectedRange sqref="A4:B84 D4:E84 C4:C83 U2:X3 AJ2:AK3 BH2:BH3 L2:R3 AC2:AE3 AO2:AQ3 K4:R83 T4:AN83 AR4:AS83 BW2:BX3 AV2:BF3 BJ2:BU3 AV4:BR83 A2:E3 AG2:AG3 F2:J83" name="Range1"/>
    <protectedRange sqref="AL2:AN3 AR2:AS3 Y2:AA3" name="Range1_2"/>
    <protectedRange sqref="AF2:AF3" name="Range1_3"/>
    <protectedRange sqref="AH2:AI3" name="Range1_4"/>
    <protectedRange sqref="S2:S3" name="Range1_6"/>
    <protectedRange sqref="K2:K3" name="Range1_1"/>
    <protectedRange sqref="AT4:AU83 AO4:AQ83" name="Range1_5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2025-10-01T23:31:05Z</dcterms:created>
  <dcterms:modified xsi:type="dcterms:W3CDTF">2025-10-01T23:37:59Z</dcterms:modified>
</cp:coreProperties>
</file>