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D189CCF-7B92-422B-A237-D5814C729FB8}" xr6:coauthVersionLast="47" xr6:coauthVersionMax="47" xr10:uidLastSave="{00000000-0000-0000-0000-000000000000}"/>
  <bookViews>
    <workbookView xWindow="-110" yWindow="-110" windowWidth="19420" windowHeight="10300" xr2:uid="{6F7AF778-D8BA-4FBD-A680-DD39A4F30EB5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" i="1" l="1"/>
  <c r="BV3" i="1"/>
  <c r="BA3" i="1"/>
  <c r="AT3" i="1"/>
  <c r="AO3" i="1"/>
  <c r="AN3" i="1"/>
  <c r="AM3" i="1"/>
  <c r="AL3" i="1"/>
  <c r="AK3" i="1"/>
  <c r="AA3" i="1"/>
  <c r="T3" i="1"/>
  <c r="CE2" i="1"/>
  <c r="BV2" i="1"/>
  <c r="BA2" i="1"/>
  <c r="AT2" i="1"/>
  <c r="AO2" i="1"/>
  <c r="AN2" i="1"/>
  <c r="AM2" i="1"/>
  <c r="AL2" i="1"/>
  <c r="AK2" i="1"/>
  <c r="AA2" i="1"/>
  <c r="T2" i="1"/>
  <c r="AQ3" i="1" l="1"/>
  <c r="AS3" i="1" s="1"/>
  <c r="CB3" i="1" s="1"/>
  <c r="BU3" i="1" s="1"/>
  <c r="AQ2" i="1"/>
  <c r="AS2" i="1" s="1"/>
  <c r="CB2" i="1" s="1"/>
  <c r="BU2" i="1" s="1"/>
  <c r="BT2" i="1"/>
  <c r="BT3" i="1"/>
  <c r="BP2" i="1" l="1"/>
  <c r="BM2" i="1"/>
  <c r="BJ2" i="1"/>
  <c r="BC2" i="1"/>
  <c r="BG2" i="1"/>
  <c r="BE2" i="1"/>
  <c r="BG3" i="1"/>
  <c r="BJ3" i="1"/>
  <c r="BP3" i="1"/>
  <c r="BM3" i="1"/>
  <c r="BE3" i="1"/>
  <c r="BC3" i="1"/>
  <c r="BQ2" i="1" l="1"/>
  <c r="BR2" i="1" s="1"/>
  <c r="BS2" i="1" s="1"/>
  <c r="BQ3" i="1"/>
  <c r="BR3" i="1" s="1"/>
  <c r="BS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27D26C40-9F01-4F9F-9073-F8B137BA5BC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9197BE40-0058-4579-9603-7E477601EDD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70B7824B-CFC8-4C47-9359-1637ECF38B69}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 xr:uid="{9DB03342-F203-4529-8D8C-1DB7887D57B7}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 xr:uid="{305D840F-39A4-4634-9DBE-61307D6A2AFF}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 xr:uid="{97F399BF-AFD8-4575-AEEE-65AAA205215F}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 xr:uid="{3AC298F7-AB15-4C30-B9E3-ADA59E327ABA}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 xr:uid="{97CC183F-E9C7-4FE0-927E-1882A87D66FC}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 xr:uid="{9F05DB2F-4281-4CCC-81EC-2EE966CE50A8}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 xr:uid="{3CD87E06-4872-4399-94AE-B6607F3C7DD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 xr:uid="{2D43E569-D575-4285-AD8E-DD4374A4743B}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 xr:uid="{DDBEF7C8-3840-44DA-AC4C-CBC9D660BE38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T1" authorId="0" shapeId="0" xr:uid="{EB215333-204C-48DB-9924-789FEC91ADCD}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 xr:uid="{C6DCD0AC-B15B-4BBE-BFCE-C33B5A66C7B2}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 xr:uid="{C429DE61-C846-4460-9A8C-62DA536246DB}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 xr:uid="{B05450EE-9A7E-4769-BDAC-D3820A49E53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 xr:uid="{53B2C3F7-E40F-44F2-8544-A58ACC6E2237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<sst xmlns="http://schemas.openxmlformats.org/spreadsheetml/2006/main" count="123" uniqueCount="106">
  <si>
    <t>Trim</t>
  </si>
  <si>
    <t>Line No.</t>
  </si>
  <si>
    <t>Photo</t>
  </si>
  <si>
    <t>Program Name</t>
  </si>
  <si>
    <t>Factory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</si>
  <si>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</si>
  <si>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</si>
  <si>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</si>
  <si>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</si>
  <si>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</si>
  <si>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</si>
  <si>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</si>
  <si>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</si>
  <si>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</si>
  <si>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</si>
  <si>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</si>
  <si>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</si>
  <si>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</si>
  <si>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</si>
  <si>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</si>
  <si>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</si>
  <si>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</si>
  <si>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</si>
  <si>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</si>
  <si>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</si>
  <si>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</si>
  <si>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</si>
  <si>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</si>
  <si>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</si>
  <si>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</si>
  <si>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</si>
  <si>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</si>
  <si>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</si>
  <si>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</si>
  <si>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</si>
  <si>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</si>
  <si>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</si>
  <si>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</si>
  <si>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</si>
  <si>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</si>
  <si>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</si>
  <si>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</si>
  <si>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</si>
  <si>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</si>
  <si>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</si>
  <si>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</si>
  <si>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</si>
  <si>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</si>
  <si>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</si>
  <si>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</si>
  <si>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</si>
  <si>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</si>
  <si>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</si>
  <si>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</si>
  <si>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</si>
  <si>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</si>
  <si>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</si>
  <si>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</si>
  <si>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</si>
  <si>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</si>
  <si>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</si>
  <si>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</si>
  <si>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</si>
  <si>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</si>
  <si>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</si>
  <si>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</si>
  <si>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</si>
  <si>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</si>
  <si>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</si>
  <si>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</si>
  <si>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</si>
  <si>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</si>
  <si>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</si>
  <si>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</si>
  <si>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</si>
  <si>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</si>
  <si>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</si>
  <si>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</si>
  <si>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</si>
  <si>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</si>
  <si>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</si>
  <si>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</si>
  <si>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</si>
  <si>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HH Round Top D2</t>
  </si>
  <si>
    <t>桐庐森龙浩</t>
  </si>
  <si>
    <t>Shanghai,China</t>
  </si>
  <si>
    <t>324-07-3795</t>
  </si>
  <si>
    <t xml:space="preserve">Brown Upholstered Round Top Mid Century Ottoman                                                      </t>
  </si>
  <si>
    <t>OTTOMAN</t>
  </si>
  <si>
    <t>Dia 18" x 18"H</t>
  </si>
  <si>
    <t>Rubber Wood, Plywood</t>
  </si>
  <si>
    <t>100% Polyester</t>
  </si>
  <si>
    <t>Multi</t>
  </si>
  <si>
    <t>None KD</t>
  </si>
  <si>
    <t>SW Aged Oak (SWGO-15705)</t>
  </si>
  <si>
    <t>9503-11 Wicklow Walnut</t>
  </si>
  <si>
    <t>Piece</t>
  </si>
  <si>
    <t>ISTA 3A</t>
  </si>
  <si>
    <t>Normal</t>
  </si>
  <si>
    <t>Payment surcharge</t>
  </si>
  <si>
    <t>Inspection Fee</t>
  </si>
  <si>
    <t>Design Fee</t>
  </si>
  <si>
    <t>9401.61.6011</t>
  </si>
  <si>
    <t>324-07-0143</t>
  </si>
  <si>
    <t xml:space="preserve">Upholstered Round Top Mid Century Ottoman                                                 </t>
  </si>
  <si>
    <t>9503-3 Wicklow 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</si>
</sst>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[$￥-804]#,##0.00"/>
    <numFmt numFmtId="169" formatCode="_ [$¥-804]* #,##0.00_ ;_ [$¥-804]* \-#,##0.00_ ;_ [$¥-804]* &quot;-&quot;??_ ;_ @_ "/>
    <numFmt numFmtId="170" formatCode="_(* #,##0_);_(* \(#,##0\);_(* &quot;-&quot;??_);_(@_)"/>
    <numFmt numFmtId="171" formatCode="_-\$* #,##0.00_ ;_-\$* \-#,##0.00\ ;_-\$* &quot;-&quot;??_ ;_-@_ "/>
    <numFmt numFmtId="172" formatCode="\$#,##0.00;\-\$#,##0.00"/>
  </numFmts>
  <fonts count="9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0" fontId="6" fillId="3" borderId="2" xfId="2" applyNumberFormat="1" applyFont="1" applyFill="1" applyBorder="1" applyAlignment="1">
      <alignment wrapText="1"/>
    </xf>
    <xf numFmtId="164" fontId="6" fillId="3" borderId="1" xfId="2" applyNumberFormat="1" applyFont="1" applyFill="1" applyBorder="1" applyAlignment="1">
      <alignment wrapText="1"/>
    </xf>
    <xf numFmtId="164" fontId="5" fillId="5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67" fontId="1" fillId="0" borderId="2" xfId="1" applyNumberFormat="1" applyBorder="1"/>
    <xf numFmtId="38" fontId="1" fillId="0" borderId="2" xfId="1" applyNumberFormat="1" applyBorder="1"/>
    <xf numFmtId="168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horizontal="left" vertical="top" wrapText="1"/>
    </xf>
    <xf numFmtId="169" fontId="1" fillId="0" borderId="2" xfId="1" applyNumberFormat="1" applyBorder="1" applyAlignment="1">
      <alignment wrapText="1"/>
    </xf>
    <xf numFmtId="2" fontId="1" fillId="8" borderId="2" xfId="1" applyNumberFormat="1" applyFill="1" applyBorder="1"/>
    <xf numFmtId="2" fontId="1" fillId="0" borderId="2" xfId="1" applyNumberFormat="1" applyBorder="1"/>
    <xf numFmtId="165" fontId="1" fillId="0" borderId="2" xfId="1" applyNumberFormat="1" applyBorder="1"/>
    <xf numFmtId="165" fontId="1" fillId="8" borderId="2" xfId="1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66" fontId="1" fillId="8" borderId="2" xfId="1" applyNumberFormat="1" applyFill="1" applyBorder="1"/>
    <xf numFmtId="1" fontId="1" fillId="8" borderId="2" xfId="1" applyNumberFormat="1" applyFill="1" applyBorder="1"/>
    <xf numFmtId="1" fontId="1" fillId="0" borderId="2" xfId="1" applyNumberFormat="1" applyBorder="1"/>
    <xf numFmtId="171" fontId="1" fillId="0" borderId="1" xfId="1" applyNumberFormat="1" applyBorder="1"/>
    <xf numFmtId="172" fontId="1" fillId="0" borderId="2" xfId="1" applyNumberFormat="1" applyBorder="1"/>
    <xf numFmtId="164" fontId="1" fillId="0" borderId="1" xfId="1" applyNumberFormat="1" applyBorder="1"/>
    <xf numFmtId="3" fontId="1" fillId="0" borderId="1" xfId="1" applyNumberFormat="1" applyBorder="1"/>
    <xf numFmtId="164" fontId="1" fillId="8" borderId="2" xfId="1" applyNumberFormat="1" applyFill="1" applyBorder="1"/>
    <xf numFmtId="10" fontId="1" fillId="0" borderId="2" xfId="1" applyNumberFormat="1" applyBorder="1"/>
    <xf numFmtId="164" fontId="1" fillId="0" borderId="2" xfId="1" applyNumberFormat="1" applyBorder="1"/>
    <xf numFmtId="10" fontId="0" fillId="8" borderId="2" xfId="4" applyNumberFormat="1" applyFont="1" applyFill="1" applyBorder="1" applyAlignment="1"/>
    <xf numFmtId="10" fontId="0" fillId="0" borderId="2" xfId="4" applyNumberFormat="1" applyFont="1" applyFill="1" applyBorder="1" applyAlignment="1"/>
    <xf numFmtId="164" fontId="1" fillId="0" borderId="2" xfId="1" applyNumberFormat="1" applyBorder="1" applyAlignment="1">
      <alignment wrapText="1"/>
    </xf>
    <xf numFmtId="3" fontId="1" fillId="0" borderId="2" xfId="1" applyNumberFormat="1" applyBorder="1"/>
    <xf numFmtId="9" fontId="1" fillId="0" borderId="2" xfId="1" applyNumberFormat="1" applyBorder="1"/>
    <xf numFmtId="0" fontId="1" fillId="0" borderId="0" xfId="1"/>
    <xf numFmtId="168" fontId="1" fillId="0" borderId="2" xfId="1" applyNumberFormat="1" applyBorder="1"/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5" fontId="1" fillId="0" borderId="1" xfId="1" applyNumberFormat="1" applyBorder="1"/>
  </cellXfs>
  <cellStyles count="5">
    <cellStyle name="Comma 5" xfId="3" xr:uid="{A5252B6B-0072-4B37-B24F-D21FF51D02A0}"/>
    <cellStyle name="Normal" xfId="0" builtinId="0"/>
    <cellStyle name="Normal 2" xfId="1" xr:uid="{07C54BCA-126A-40F0-ACAB-B68AD2883F3E}"/>
    <cellStyle name="Normal 2 18 2" xfId="2" xr:uid="{A5E4B2D4-56B2-4393-B1C2-71DCBE1C1BDC}"/>
    <cellStyle name="Percent 2" xfId="4" xr:uid="{0F95B23A-C4F0-414F-A221-3C20FCD3B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DC95-F48F-4A78-A6A6-1BE8DAE44E4A}">
  <dimension ref="A1:CE4"/>
  <sheetViews>
    <sheetView tabSelected="1" zoomScale="99" zoomScaleNormal="99" workbookViewId="0">
      <selection activeCell="A8" sqref="A8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68" customWidth="1"/>
    <col min="34" max="36" width="8.81640625" style="68" customWidth="1"/>
    <col min="37" max="37" width="11.36328125" style="3" customWidth="1"/>
    <col min="38" max="38" width="8.1796875" style="68" customWidth="1"/>
    <col min="39" max="39" width="8.81640625" style="68" customWidth="1"/>
    <col min="40" max="41" width="7.1796875" style="68" customWidth="1"/>
    <col min="42" max="42" width="6.1796875" style="5" customWidth="1"/>
    <col min="43" max="43" width="10" style="69" customWidth="1"/>
    <col min="44" max="44" width="10" style="3" customWidth="1"/>
    <col min="45" max="45" width="9.81640625" style="5" customWidth="1"/>
    <col min="46" max="46" width="8.08984375" style="4" customWidth="1"/>
    <col min="47" max="47" width="7.26953125" style="5" customWidth="1"/>
    <col min="48" max="48" width="8.08984375" style="68" customWidth="1"/>
    <col min="49" max="49" width="10.26953125" style="4" customWidth="1"/>
    <col min="50" max="50" width="8.08984375" style="4" customWidth="1"/>
    <col min="51" max="51" width="9.81640625" style="4" customWidth="1"/>
    <col min="52" max="52" width="9.81640625" style="6" customWidth="1"/>
    <col min="53" max="53" width="8.08984375" style="4" customWidth="1"/>
    <col min="54" max="54" width="7.90625" style="7" customWidth="1"/>
    <col min="55" max="55" width="5.90625" style="4" customWidth="1"/>
    <col min="56" max="56" width="10.26953125" style="7" customWidth="1"/>
    <col min="57" max="57" width="9.1796875" style="4" customWidth="1"/>
    <col min="58" max="58" width="8.08984375" style="7" customWidth="1"/>
    <col min="59" max="59" width="9.1796875" style="4" customWidth="1"/>
    <col min="60" max="60" width="7.81640625" style="4" customWidth="1"/>
    <col min="61" max="61" width="8.08984375" style="7" customWidth="1"/>
    <col min="62" max="63" width="9.1796875" style="4" customWidth="1"/>
    <col min="64" max="64" width="11.6328125" style="7" customWidth="1"/>
    <col min="65" max="65" width="10.90625" style="4" customWidth="1"/>
    <col min="66" max="66" width="8.36328125" style="4" customWidth="1"/>
    <col min="67" max="67" width="9.90625" style="7" customWidth="1"/>
    <col min="68" max="68" width="9.90625" style="4" customWidth="1"/>
    <col min="69" max="69" width="7.81640625" style="4" customWidth="1"/>
    <col min="70" max="71" width="9.6328125" style="4" customWidth="1"/>
    <col min="72" max="74" width="12.1796875" style="4" customWidth="1"/>
    <col min="75" max="75" width="9.1796875" style="2" customWidth="1"/>
    <col min="76" max="76" width="9.1796875" style="2"/>
    <col min="77" max="78" width="10.1796875" style="4" customWidth="1"/>
    <col min="79" max="79" width="9.54296875" style="2" customWidth="1"/>
    <col min="80" max="80" width="8.90625" style="4" customWidth="1"/>
    <col min="81" max="81" width="7.81640625" style="2" customWidth="1"/>
    <col min="82" max="82" width="8.453125" style="7" customWidth="1"/>
    <col min="83" max="83" width="9" style="4" customWidth="1"/>
    <col min="84" max="16384" width="9.1796875" style="2"/>
  </cols>
  <sheetData>
    <row r="1" spans="1:83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0" t="s">
        <v>10</v>
      </c>
      <c r="K1" s="10" t="s">
        <v>11</v>
      </c>
      <c r="L1" s="9" t="s">
        <v>12</v>
      </c>
      <c r="M1" s="11" t="s">
        <v>13</v>
      </c>
      <c r="N1" s="11" t="s">
        <v>14</v>
      </c>
      <c r="O1" s="12" t="s">
        <v>15</v>
      </c>
      <c r="P1" s="13" t="s">
        <v>16</v>
      </c>
      <c r="Q1" s="10" t="s">
        <v>17</v>
      </c>
      <c r="R1" s="10" t="s">
        <v>18</v>
      </c>
      <c r="S1" s="10" t="s">
        <v>19</v>
      </c>
      <c r="T1" s="13" t="s">
        <v>20</v>
      </c>
      <c r="U1" s="11" t="s">
        <v>21</v>
      </c>
      <c r="V1" s="11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3" t="s">
        <v>0</v>
      </c>
      <c r="AB1" s="11" t="s">
        <v>27</v>
      </c>
      <c r="AC1" s="8" t="s">
        <v>28</v>
      </c>
      <c r="AD1" s="14" t="s">
        <v>29</v>
      </c>
      <c r="AE1" s="15" t="s">
        <v>30</v>
      </c>
      <c r="AF1" s="16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8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20" t="s">
        <v>41</v>
      </c>
      <c r="AQ1" s="21" t="s">
        <v>42</v>
      </c>
      <c r="AR1" s="22" t="s">
        <v>43</v>
      </c>
      <c r="AS1" s="23" t="s">
        <v>44</v>
      </c>
      <c r="AT1" s="23" t="s">
        <v>45</v>
      </c>
      <c r="AU1" s="20" t="s">
        <v>46</v>
      </c>
      <c r="AV1" s="70" t="s">
        <v>47</v>
      </c>
      <c r="AW1" s="24" t="s">
        <v>48</v>
      </c>
      <c r="AX1" s="25" t="s">
        <v>49</v>
      </c>
      <c r="AY1" s="26" t="s">
        <v>50</v>
      </c>
      <c r="AZ1" s="27" t="s">
        <v>51</v>
      </c>
      <c r="BA1" s="28" t="s">
        <v>52</v>
      </c>
      <c r="BB1" s="29" t="s">
        <v>53</v>
      </c>
      <c r="BC1" s="28" t="s">
        <v>54</v>
      </c>
      <c r="BD1" s="29" t="s">
        <v>55</v>
      </c>
      <c r="BE1" s="28" t="s">
        <v>56</v>
      </c>
      <c r="BF1" s="29" t="s">
        <v>57</v>
      </c>
      <c r="BG1" s="28" t="s">
        <v>58</v>
      </c>
      <c r="BH1" s="30" t="s">
        <v>59</v>
      </c>
      <c r="BI1" s="29" t="s">
        <v>60</v>
      </c>
      <c r="BJ1" s="28" t="s">
        <v>61</v>
      </c>
      <c r="BK1" s="30" t="s">
        <v>62</v>
      </c>
      <c r="BL1" s="29" t="s">
        <v>63</v>
      </c>
      <c r="BM1" s="28" t="s">
        <v>64</v>
      </c>
      <c r="BN1" s="30" t="s">
        <v>65</v>
      </c>
      <c r="BO1" s="29" t="s">
        <v>66</v>
      </c>
      <c r="BP1" s="28" t="s">
        <v>67</v>
      </c>
      <c r="BQ1" s="28" t="s">
        <v>68</v>
      </c>
      <c r="BR1" s="31" t="s">
        <v>69</v>
      </c>
      <c r="BS1" s="32" t="s">
        <v>70</v>
      </c>
      <c r="BT1" s="33" t="s">
        <v>71</v>
      </c>
      <c r="BU1" s="32" t="s">
        <v>72</v>
      </c>
      <c r="BV1" s="31" t="s">
        <v>73</v>
      </c>
      <c r="BW1" s="34" t="s">
        <v>74</v>
      </c>
      <c r="BX1" s="35" t="s">
        <v>75</v>
      </c>
      <c r="BY1" s="36" t="s">
        <v>76</v>
      </c>
      <c r="BZ1" s="36" t="s">
        <v>77</v>
      </c>
      <c r="CA1" s="8" t="s">
        <v>78</v>
      </c>
      <c r="CB1" s="28" t="s">
        <v>79</v>
      </c>
      <c r="CC1" s="8" t="s">
        <v>80</v>
      </c>
      <c r="CD1" s="29" t="s">
        <v>81</v>
      </c>
      <c r="CE1" s="37" t="s">
        <v>82</v>
      </c>
    </row>
    <row r="2" spans="1:83" s="66" customFormat="1" ht="14.5" customHeight="1">
      <c r="A2" s="38">
        <v>1</v>
      </c>
      <c r="B2" s="39"/>
      <c r="C2" s="39" t="s">
        <v>83</v>
      </c>
      <c r="D2" s="39" t="s">
        <v>84</v>
      </c>
      <c r="E2" s="39" t="s">
        <v>85</v>
      </c>
      <c r="F2" s="39"/>
      <c r="G2" s="39"/>
      <c r="H2" s="39" t="s">
        <v>86</v>
      </c>
      <c r="I2" s="40"/>
      <c r="J2" s="39"/>
      <c r="K2" s="39"/>
      <c r="L2" s="41"/>
      <c r="M2" s="39" t="s">
        <v>87</v>
      </c>
      <c r="N2" s="42"/>
      <c r="O2" s="39" t="s">
        <v>88</v>
      </c>
      <c r="P2" s="39" t="s">
        <v>89</v>
      </c>
      <c r="Q2" s="43" t="s">
        <v>90</v>
      </c>
      <c r="R2" s="44" t="s">
        <v>91</v>
      </c>
      <c r="S2" s="45"/>
      <c r="T2" s="46" t="str">
        <f>_xlfn.TEXTJOIN("; ",TRUE,Q2:S2)</f>
        <v>Rubber Wood, Plywood; 100% Polyester</v>
      </c>
      <c r="U2" s="42"/>
      <c r="V2" s="39" t="s">
        <v>92</v>
      </c>
      <c r="W2" s="43" t="s">
        <v>93</v>
      </c>
      <c r="X2" s="40" t="s">
        <v>94</v>
      </c>
      <c r="Y2" s="40"/>
      <c r="Z2" s="40" t="s">
        <v>95</v>
      </c>
      <c r="AA2" s="46" t="str">
        <f>_xlfn.TEXTJOIN("; ",TRUE,W2:Z2)</f>
        <v>None KD; SW Aged Oak (SWGO-15705); 9503-11 Wicklow Walnut</v>
      </c>
      <c r="AB2" s="39" t="s">
        <v>96</v>
      </c>
      <c r="AC2" s="39" t="s">
        <v>97</v>
      </c>
      <c r="AD2" s="39" t="s">
        <v>98</v>
      </c>
      <c r="AE2" s="47">
        <v>8.8000000000000007</v>
      </c>
      <c r="AF2" s="47">
        <v>12.1</v>
      </c>
      <c r="AG2" s="48">
        <v>18.8</v>
      </c>
      <c r="AH2" s="48">
        <v>18.8</v>
      </c>
      <c r="AI2" s="48">
        <v>18.8</v>
      </c>
      <c r="AJ2" s="48"/>
      <c r="AK2" s="46">
        <f t="shared" ref="AK2:AK3" si="0">AF2*0.454</f>
        <v>5.49</v>
      </c>
      <c r="AL2" s="49">
        <f t="shared" ref="AL2:AO3" si="1">AG2*2.54</f>
        <v>47.8</v>
      </c>
      <c r="AM2" s="49">
        <f t="shared" si="1"/>
        <v>47.8</v>
      </c>
      <c r="AN2" s="49">
        <f t="shared" si="1"/>
        <v>47.8</v>
      </c>
      <c r="AO2" s="49">
        <f t="shared" si="1"/>
        <v>0</v>
      </c>
      <c r="AP2" s="50">
        <v>1</v>
      </c>
      <c r="AQ2" s="51">
        <f>IF(AJ2="",AL2*AM2*AN2/1000000,AL2*AM2*(AN2/2+AO2/2)/1000000)</f>
        <v>0.109</v>
      </c>
      <c r="AR2" s="47">
        <v>66</v>
      </c>
      <c r="AS2" s="52">
        <f t="shared" ref="AS2:AS3" si="2">IF(AP2="","",AR2/AQ2*AP2)</f>
        <v>606</v>
      </c>
      <c r="AT2" s="52">
        <f>MAX(ROUNDUP(AG2,0),ROUNDUP(AH2,0),ROUNDUP(AI2,0))+((MIN(ROUNDUP(AG2,0),ROUNDUP(AH2,0),ROUNDUP(AI2,0))+MEDIAN(ROUNDUP(AG2,0),ROUNDUP(AH2,0),ROUNDUP(AI2,0))))*2</f>
        <v>95</v>
      </c>
      <c r="AU2" s="53">
        <v>5000</v>
      </c>
      <c r="AV2" s="71">
        <v>0.3</v>
      </c>
      <c r="AW2" s="54">
        <v>16.899999999999999</v>
      </c>
      <c r="AX2" s="55">
        <v>19.07</v>
      </c>
      <c r="AY2" s="56">
        <v>900</v>
      </c>
      <c r="AZ2" s="57">
        <v>5000</v>
      </c>
      <c r="BA2" s="58">
        <f>IF(ISERROR(AY2/AZ2),"",AY2/AZ2)</f>
        <v>0.18</v>
      </c>
      <c r="BB2" s="59">
        <v>0.1</v>
      </c>
      <c r="BC2" s="58">
        <f t="shared" ref="BC2:BC3" si="3">IF(ISERROR(BT2*BB2),"",BT2*BB2)</f>
        <v>2.4</v>
      </c>
      <c r="BD2" s="59">
        <v>0</v>
      </c>
      <c r="BE2" s="58">
        <f t="shared" ref="BE2:BE3" si="4">IF(ISERROR(BT2*BD2),"",BT2*BD2)</f>
        <v>0</v>
      </c>
      <c r="BF2" s="59">
        <v>0.01</v>
      </c>
      <c r="BG2" s="58">
        <f t="shared" ref="BG2:BG3" si="5">IF(ISERROR(BT2*BF2),"",BT2*BF2)</f>
        <v>0.24</v>
      </c>
      <c r="BH2" s="60" t="s">
        <v>99</v>
      </c>
      <c r="BI2" s="59">
        <v>0.01</v>
      </c>
      <c r="BJ2" s="58">
        <f t="shared" ref="BJ2:BJ3" si="6">IF(ISERROR(BT2*BI2),"",BT2*BI2)</f>
        <v>0.24</v>
      </c>
      <c r="BK2" s="60" t="s">
        <v>100</v>
      </c>
      <c r="BL2" s="59">
        <v>0</v>
      </c>
      <c r="BM2" s="58">
        <f t="shared" ref="BM2:BM3" si="7">IF(ISERROR(BT2*BL2),"",BT2*BL2)</f>
        <v>0</v>
      </c>
      <c r="BN2" s="60" t="s">
        <v>101</v>
      </c>
      <c r="BO2" s="59">
        <v>0</v>
      </c>
      <c r="BP2" s="58">
        <f t="shared" ref="BP2:BP3" si="8">IF(ISERROR(BT2*BO2),"",BT2*BO2)</f>
        <v>0</v>
      </c>
      <c r="BQ2" s="58">
        <f>IF(ISERROR(BC2+BE2+BG2+BJ2+BM2+BP2),"",BC2+BE2+BG2+BJ2+BM2+BP2)</f>
        <v>2.88</v>
      </c>
      <c r="BR2" s="58">
        <f>IF(ISERROR(AW2+BA2+BQ2),"",AW2+BA2+BQ2)</f>
        <v>19.96</v>
      </c>
      <c r="BS2" s="61">
        <f t="shared" ref="BS2:BS3" si="9">IF(ISERROR((BT2-BR2)/BT2),"",(BT2-BR2)/BT2)</f>
        <v>0.1673</v>
      </c>
      <c r="BT2" s="58">
        <f>IF(ISERROR(BV2-BZ2-CB2-CE2),"",BV2-BZ2-CB2-CE2)</f>
        <v>23.97</v>
      </c>
      <c r="BU2" s="58">
        <f>IF(ISERROR(BV2-CB2-CE2),"",BV2-CB2-CE2)</f>
        <v>25.17</v>
      </c>
      <c r="BV2" s="58">
        <f>IF(BW2="","",BW2*(1-BX2))</f>
        <v>35.18</v>
      </c>
      <c r="BW2" s="55">
        <v>99.99</v>
      </c>
      <c r="BX2" s="62">
        <v>0.6482</v>
      </c>
      <c r="BY2" s="63"/>
      <c r="BZ2" s="63">
        <v>1.2</v>
      </c>
      <c r="CA2" s="64">
        <v>3500</v>
      </c>
      <c r="CB2" s="58">
        <f t="shared" ref="CB2:CB3" si="10">IF(ISERROR(CA2/AS2),"",CA2/AS2)</f>
        <v>5.78</v>
      </c>
      <c r="CC2" s="39" t="s">
        <v>102</v>
      </c>
      <c r="CD2" s="65">
        <v>0.25</v>
      </c>
      <c r="CE2" s="58">
        <f t="shared" ref="CE2:CE3" si="11">IF(ISERROR(AW2*CD2),"",AW2*CD2)</f>
        <v>4.2300000000000004</v>
      </c>
    </row>
    <row r="3" spans="1:83" s="66" customFormat="1">
      <c r="A3" s="38">
        <v>2</v>
      </c>
      <c r="B3" s="39"/>
      <c r="C3" s="39" t="s">
        <v>83</v>
      </c>
      <c r="D3" s="39" t="s">
        <v>84</v>
      </c>
      <c r="E3" s="39" t="s">
        <v>85</v>
      </c>
      <c r="F3" s="39"/>
      <c r="G3" s="39"/>
      <c r="H3" s="39" t="s">
        <v>103</v>
      </c>
      <c r="I3" s="40"/>
      <c r="J3" s="39"/>
      <c r="K3" s="39"/>
      <c r="L3" s="41"/>
      <c r="M3" s="39" t="s">
        <v>104</v>
      </c>
      <c r="N3" s="42"/>
      <c r="O3" s="39" t="s">
        <v>88</v>
      </c>
      <c r="P3" s="39" t="s">
        <v>89</v>
      </c>
      <c r="Q3" s="67" t="s">
        <v>90</v>
      </c>
      <c r="R3" s="67" t="s">
        <v>91</v>
      </c>
      <c r="S3" s="40"/>
      <c r="T3" s="46" t="str">
        <f t="shared" ref="T3" si="12">_xlfn.TEXTJOIN(";",TRUE,Q3:S3)</f>
        <v>Rubber Wood, Plywood;100% Polyester</v>
      </c>
      <c r="U3" s="42"/>
      <c r="V3" s="39" t="s">
        <v>92</v>
      </c>
      <c r="W3" s="43" t="s">
        <v>93</v>
      </c>
      <c r="X3" s="39" t="s">
        <v>94</v>
      </c>
      <c r="Y3" s="40"/>
      <c r="Z3" s="39" t="s">
        <v>105</v>
      </c>
      <c r="AA3" s="46" t="str">
        <f t="shared" ref="AA3" si="13">_xlfn.TEXTJOIN("; ",TRUE,W3:Z3)</f>
        <v>None KD; SW Aged Oak (SWGO-15705); 9503-3 Wicklow Fog</v>
      </c>
      <c r="AB3" s="39" t="s">
        <v>96</v>
      </c>
      <c r="AC3" s="39" t="s">
        <v>97</v>
      </c>
      <c r="AD3" s="39" t="s">
        <v>98</v>
      </c>
      <c r="AE3" s="47">
        <v>8.8000000000000007</v>
      </c>
      <c r="AF3" s="47">
        <v>12.1</v>
      </c>
      <c r="AG3" s="48">
        <v>18.8</v>
      </c>
      <c r="AH3" s="48">
        <v>18.8</v>
      </c>
      <c r="AI3" s="48">
        <v>18.8</v>
      </c>
      <c r="AJ3" s="48"/>
      <c r="AK3" s="46">
        <f t="shared" si="0"/>
        <v>5.49</v>
      </c>
      <c r="AL3" s="49">
        <f t="shared" si="1"/>
        <v>47.8</v>
      </c>
      <c r="AM3" s="49">
        <f t="shared" si="1"/>
        <v>47.8</v>
      </c>
      <c r="AN3" s="49">
        <f t="shared" si="1"/>
        <v>47.8</v>
      </c>
      <c r="AO3" s="49">
        <f t="shared" si="1"/>
        <v>0</v>
      </c>
      <c r="AP3" s="50">
        <v>1</v>
      </c>
      <c r="AQ3" s="51">
        <f t="shared" ref="AQ3" si="14">IF(AJ3="",AL3*AM3*AN3/1000000,AL3*AM3*(AN3/2+AO3/2)/1000000)</f>
        <v>0.109</v>
      </c>
      <c r="AR3" s="47">
        <v>66</v>
      </c>
      <c r="AS3" s="52">
        <f t="shared" si="2"/>
        <v>606</v>
      </c>
      <c r="AT3" s="52">
        <f t="shared" ref="AT3" si="15">MAX(ROUNDUP(AG3,0),ROUNDUP(AH3,0),ROUNDUP(AI3,0))+((MIN(ROUNDUP(AG3,0),ROUNDUP(AH3,0),ROUNDUP(AI3,0))+MEDIAN(ROUNDUP(AG3,0),ROUNDUP(AH3,0),ROUNDUP(AI3,0))))*2</f>
        <v>95</v>
      </c>
      <c r="AU3" s="53">
        <v>5000</v>
      </c>
      <c r="AV3" s="71">
        <v>0.3</v>
      </c>
      <c r="AW3" s="54">
        <v>16.899999999999999</v>
      </c>
      <c r="AX3" s="55">
        <v>19.07</v>
      </c>
      <c r="AY3" s="56">
        <v>900</v>
      </c>
      <c r="AZ3" s="57">
        <v>5000</v>
      </c>
      <c r="BA3" s="58">
        <f t="shared" ref="BA3" si="16">IF(ISERROR(AY3/AZ3),"",AY3/AZ3)</f>
        <v>0.18</v>
      </c>
      <c r="BB3" s="59">
        <v>0.1</v>
      </c>
      <c r="BC3" s="58">
        <f t="shared" si="3"/>
        <v>2.4</v>
      </c>
      <c r="BD3" s="59">
        <v>0</v>
      </c>
      <c r="BE3" s="58">
        <f t="shared" si="4"/>
        <v>0</v>
      </c>
      <c r="BF3" s="59">
        <v>0.01</v>
      </c>
      <c r="BG3" s="58">
        <f t="shared" si="5"/>
        <v>0.24</v>
      </c>
      <c r="BH3" s="60" t="s">
        <v>99</v>
      </c>
      <c r="BI3" s="59">
        <v>0.01</v>
      </c>
      <c r="BJ3" s="58">
        <f t="shared" si="6"/>
        <v>0.24</v>
      </c>
      <c r="BK3" s="60" t="s">
        <v>100</v>
      </c>
      <c r="BL3" s="59">
        <v>0</v>
      </c>
      <c r="BM3" s="58">
        <f t="shared" si="7"/>
        <v>0</v>
      </c>
      <c r="BN3" s="60" t="s">
        <v>101</v>
      </c>
      <c r="BO3" s="59">
        <v>0</v>
      </c>
      <c r="BP3" s="58">
        <f t="shared" si="8"/>
        <v>0</v>
      </c>
      <c r="BQ3" s="58">
        <f t="shared" ref="BQ3" si="17">IF(ISERROR(BC3+BE3+BG3+BJ3+BM3+BP3),"",BC3+BE3+BG3+BJ3+BM3+BP3)</f>
        <v>2.88</v>
      </c>
      <c r="BR3" s="58">
        <f t="shared" ref="BR3" si="18">IF(ISERROR(AW3+BA3+BQ3),"",AW3+BA3+BQ3)</f>
        <v>19.96</v>
      </c>
      <c r="BS3" s="61">
        <f t="shared" si="9"/>
        <v>0.1673</v>
      </c>
      <c r="BT3" s="58">
        <f t="shared" ref="BT3" si="19">IF(ISERROR(BV3-BZ3-CB3-CE3),"",BV3-BZ3-CB3-CE3)</f>
        <v>23.97</v>
      </c>
      <c r="BU3" s="58">
        <f t="shared" ref="BU3" si="20">IF(ISERROR(BV3-CB3-CE3),"",BV3-CB3-CE3)</f>
        <v>25.17</v>
      </c>
      <c r="BV3" s="58">
        <f t="shared" ref="BV3" si="21">IF(BW3="","",BW3*(1-BX3))</f>
        <v>35.18</v>
      </c>
      <c r="BW3" s="55">
        <v>99.99</v>
      </c>
      <c r="BX3" s="62">
        <v>0.6482</v>
      </c>
      <c r="BY3" s="63"/>
      <c r="BZ3" s="63">
        <v>1.2</v>
      </c>
      <c r="CA3" s="64">
        <v>3500</v>
      </c>
      <c r="CB3" s="58">
        <f t="shared" si="10"/>
        <v>5.78</v>
      </c>
      <c r="CC3" s="39" t="s">
        <v>102</v>
      </c>
      <c r="CD3" s="65">
        <v>0.25</v>
      </c>
      <c r="CE3" s="58">
        <f t="shared" si="11"/>
        <v>4.2300000000000004</v>
      </c>
    </row>
    <row r="4" spans="1:83">
      <c r="BS4" s="7"/>
      <c r="BW4" s="4"/>
      <c r="BX4" s="7"/>
    </row>
  </sheetData>
  <sheetProtection insertRows="0" deleteRows="0" sort="0"/>
  <protectedRanges>
    <protectedRange sqref="BT5:BV246 BW4:BX4 V4:V246 CA4:CE246 T4:T246 BH2:BJ246 AQ2:AS3 AF4:AX246 A2:H246 BX2:BX3 CE2:CE3 BT2:BV3 BB2:BC246 BQ2:BS246 AU2:AY3 J2:P246 AA2:AE246 T2:V3 CB2:CB3" name="Range1"/>
    <protectedRange sqref="AF2:AJ3 AK2:AO3" name="Range1_2"/>
    <protectedRange sqref="CA2:CA3" name="Range1_3"/>
    <protectedRange sqref="CC2:CD3" name="Range1_4"/>
    <protectedRange sqref="BW2:BW3" name="Range1_5"/>
    <protectedRange sqref="BA2:BA3 BD2:BG208" name="Range1_1"/>
    <protectedRange sqref="BK2:BP208" name="Range1_7"/>
    <protectedRange sqref="U4:U249 W2:Z249 Q2:S249" name="Range1_1_1"/>
    <protectedRange sqref="I2:I244" name="Range1_8"/>
    <protectedRange sqref="BY2:BZ244" name="Range1_9"/>
    <protectedRange sqref="AY4:BA246 AZ2:AZ3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2025-09-17T22:15:30Z</dcterms:created>
  <dcterms:modified xsi:type="dcterms:W3CDTF">2025-09-17T23:34:50Z</dcterms:modified>
</cp:coreProperties>
</file>