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32A21F1-51B4-4BD8-ACA7-D7D877B52017}" xr6:coauthVersionLast="47" xr6:coauthVersionMax="47" xr10:uidLastSave="{00000000-0000-0000-0000-000000000000}"/>
  <bookViews>
    <workbookView xWindow="-110" yWindow="-110" windowWidth="19420" windowHeight="10300" xr2:uid="{9F1E7DE3-A7B3-4164-9EB4-CFCD0F14D8AC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" i="1" l="1"/>
  <c r="CM3" i="1" s="1"/>
  <c r="CG3" i="1"/>
  <c r="CD3" i="1"/>
  <c r="CA3" i="1"/>
  <c r="BY3" i="1"/>
  <c r="BW3" i="1"/>
  <c r="BU3" i="1"/>
  <c r="BS3" i="1"/>
  <c r="CH3" i="1" s="1"/>
  <c r="BL3" i="1"/>
  <c r="BI3" i="1"/>
  <c r="BG3" i="1"/>
  <c r="BD3" i="1"/>
  <c r="AU3" i="1"/>
  <c r="AT3" i="1"/>
  <c r="AS3" i="1"/>
  <c r="AR3" i="1"/>
  <c r="AQ3" i="1"/>
  <c r="AP3" i="1"/>
  <c r="AA3" i="1"/>
  <c r="T3" i="1"/>
  <c r="CL2" i="1"/>
  <c r="CO2" i="1" s="1"/>
  <c r="CG2" i="1"/>
  <c r="CD2" i="1"/>
  <c r="CA2" i="1"/>
  <c r="BY2" i="1"/>
  <c r="BW2" i="1"/>
  <c r="BU2" i="1"/>
  <c r="BS2" i="1"/>
  <c r="BL2" i="1"/>
  <c r="BI2" i="1"/>
  <c r="BG2" i="1"/>
  <c r="BD2" i="1"/>
  <c r="AU2" i="1"/>
  <c r="AT2" i="1"/>
  <c r="AS2" i="1"/>
  <c r="AR2" i="1"/>
  <c r="AQ2" i="1"/>
  <c r="AP2" i="1"/>
  <c r="AA2" i="1"/>
  <c r="T2" i="1"/>
  <c r="BM2" i="1" l="1"/>
  <c r="BN2" i="1" s="1"/>
  <c r="BO2" i="1" s="1"/>
  <c r="AW3" i="1"/>
  <c r="AY3" i="1" s="1"/>
  <c r="BA3" i="1" s="1"/>
  <c r="BE3" i="1" s="1"/>
  <c r="BM3" i="1"/>
  <c r="BN3" i="1" s="1"/>
  <c r="BO3" i="1" s="1"/>
  <c r="CM2" i="1"/>
  <c r="CI3" i="1"/>
  <c r="CJ3" i="1" s="1"/>
  <c r="CH2" i="1"/>
  <c r="CO3" i="1"/>
  <c r="AW2" i="1"/>
  <c r="AY2" i="1" s="1"/>
  <c r="BA2" i="1" s="1"/>
  <c r="BE2" i="1" s="1"/>
  <c r="CI2" i="1" l="1"/>
  <c r="C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W1" authorId="0" shapeId="0" xr:uid="{55E64E67-82F7-4AEE-B839-20638618F38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Y1" authorId="0" shapeId="0" xr:uid="{C54A3FB7-BA0B-49EA-82DC-11E814B019B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A670A1F7-6A5F-40A8-B255-70EEA9CD354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D1" authorId="0" shapeId="0" xr:uid="{A8131392-4565-4E81-AE9C-57D0B4F4DAEA}">
      <text>
        <r>
          <rPr>
            <sz val="11"/>
            <rFont val="Calibri"/>
            <family val="2"/>
          </rPr>
          <t>[JLA DI Price]*[Duty Rate]</t>
        </r>
      </text>
    </comment>
    <comment ref="BE1" authorId="0" shapeId="0" xr:uid="{B3DCD1D3-A7C0-4AED-8E66-46F73C337059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2FFDD931-AB32-4BE6-B7C6-619903B8550F}">
      <text>
        <r>
          <rPr>
            <sz val="11"/>
            <rFont val="Calibri"/>
            <family val="2"/>
          </rPr>
          <t>[JLA FOB Country Original Price]*[DA %]</t>
        </r>
      </text>
    </comment>
    <comment ref="BI1" authorId="0" shapeId="0" xr:uid="{8F5AE041-D5B7-4FDD-B750-B121ED7E2C4E}">
      <text>
        <r>
          <rPr>
            <sz val="11"/>
            <rFont val="Calibri"/>
            <family val="2"/>
          </rPr>
          <t>[JLA FOB Country Original Price]*[Royalty %]</t>
        </r>
      </text>
    </comment>
    <comment ref="BL1" authorId="0" shapeId="0" xr:uid="{7AF36E37-E280-47DE-9D3A-42DC4BE8D528}">
      <text>
        <r>
          <rPr>
            <sz val="11"/>
            <rFont val="Calibri"/>
            <family val="2"/>
          </rPr>
          <t>[JLA FOB Country Original Price]*[Load 1 %]</t>
        </r>
      </text>
    </comment>
    <comment ref="BM1" authorId="0" shapeId="0" xr:uid="{4D94874A-ABD7-4450-8EE5-740B04AF9ADD}">
      <text>
        <r>
          <rPr>
            <sz val="11"/>
            <rFont val="Calibri"/>
            <family val="2"/>
          </rPr>
          <t>[DA $]+[Licensed Royalty $]+[Load 1 $]</t>
        </r>
      </text>
    </comment>
    <comment ref="BN1" authorId="0" shapeId="0" xr:uid="{C2A11768-2666-4C45-B53C-1C1E25A7C494}">
      <text>
        <r>
          <rPr>
            <sz val="11"/>
            <rFont val="Calibri"/>
            <family val="2"/>
          </rPr>
          <t>[Factory Cost $]+[Total DI Loads $]</t>
        </r>
      </text>
    </comment>
    <comment ref="BO1" authorId="0" shapeId="0" xr:uid="{4600A1CD-80E3-4202-BCA0-D0894E7B59F6}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 xr:uid="{1FD08EC7-F0EA-404A-8AF8-F1F22A5D84CB}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 xr:uid="{221FC687-FDDF-4B49-825B-E221FF91A212}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 xr:uid="{47137207-A0F4-44A3-BDC1-0FD56E098178}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 xr:uid="{D8AE31CE-F6AD-499C-B756-7EA2024A8255}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 xr:uid="{37FE0D41-5ED4-4EE1-BAE3-B6D572274428}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 xr:uid="{1A846C31-D1C1-4C64-9DFF-26E0842FB532}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 xr:uid="{2124C153-EE88-4726-8438-79D4E729620C}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 xr:uid="{837FBF5C-39DD-4158-8329-CA522CCD7B48}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 xr:uid="{31EDD002-CAA7-4669-B7EE-C428089A4445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 xr:uid="{8D19268C-FE53-49F9-A4CB-6539179BBBFB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 xr:uid="{0054175E-3DF5-47A3-8A62-E7EB8510F5B4}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 xr:uid="{911D3B89-654C-4159-BA8D-9889A23814A4}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 xr:uid="{C97B759B-5235-4420-9B71-DBE116E9C112}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<sst xmlns="http://schemas.openxmlformats.org/spreadsheetml/2006/main" count="143" uniqueCount="129">
  <si>
    <t>Trim</t>
  </si>
  <si>
    <t>Line No.</t>
  </si>
  <si>
    <t>Photo</t>
  </si>
  <si>
    <t>Program Name</t>
  </si>
  <si>
    <t>Item No.</t>
  </si>
  <si>
    <t>UPC</t>
  </si>
  <si>
    <t>Design No.</t>
  </si>
  <si>
    <t>Brand</t>
  </si>
  <si>
    <t>Licensor</t>
  </si>
  <si>
    <t>Pattern Name Tier 1</t>
  </si>
  <si>
    <t>Pattern Name Tier 2</t>
  </si>
  <si>
    <t>Pattern Name Tier 3</t>
  </si>
  <si>
    <t>Item Description</t>
  </si>
  <si>
    <t>Description-Short</t>
  </si>
  <si>
    <t>Product Category</t>
  </si>
  <si>
    <t>Overall size (W x D x H in inch)</t>
  </si>
  <si>
    <t>Color</t>
  </si>
  <si>
    <t>Main Material (Species of wood, ect.)</t>
  </si>
  <si>
    <t>Fabric Composition</t>
  </si>
  <si>
    <t>Foam Construction</t>
  </si>
  <si>
    <t>material</t>
  </si>
  <si>
    <t>Material-Short</t>
  </si>
  <si>
    <t>Construction</t>
  </si>
  <si>
    <t>Wood/Metal Finish</t>
  </si>
  <si>
    <t>Trim Color (Nailhead/Kickplate Color)</t>
  </si>
  <si>
    <t>Fabric Name &amp; Code</t>
  </si>
  <si>
    <t>Martha Stewart Lifestyle</t>
  </si>
  <si>
    <t>Unit of Measure</t>
  </si>
  <si>
    <t>Packaging Standard</t>
  </si>
  <si>
    <t>Package Type</t>
  </si>
  <si>
    <t>Factory Name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</si>
  <si>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</si>
  <si>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</si>
  <si>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</si>
  <si>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</si>
  <si>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</si>
  <si>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</si>
  <si>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</si>
  <si>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</si>
  <si>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</si>
  <si>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</si>
  <si>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</si>
  <si>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</si>
  <si>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</si>
  <si>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</si>
  <si>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</si>
  <si>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</si>
  <si>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</si>
  <si>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</si>
  <si>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</si>
  <si>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</si>
  <si>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</si>
  <si>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</si>
  <si>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</si>
  <si>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</si>
  <si>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</si>
  <si>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</si>
  <si>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</si>
  <si>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</si>
  <si>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</si>
  <si>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</si>
  <si>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</si>
  <si>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</si>
  <si>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</si>
  <si>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</si>
  <si>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</si>
  <si>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</si>
  <si>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</si>
  <si>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FOB Port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</si>
  <si>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</si>
  <si>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</si>
  <si>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</si>
  <si>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</si>
  <si>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</si>
  <si>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</si>
  <si>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</si>
  <si>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</si>
  <si>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</si>
  <si>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</si>
  <si>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</si>
  <si>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</si>
  <si>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</si>
  <si>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</si>
  <si>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</si>
  <si>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</si>
  <si>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</si>
  <si>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</si>
  <si>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</si>
  <si>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</si>
  <si>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</si>
  <si>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</si>
  <si>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</si>
  <si>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</si>
  <si>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</si>
  <si>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MS Leslie D1</t>
  </si>
  <si>
    <t>F24D2S043</t>
  </si>
  <si>
    <t>Martha Stewart</t>
  </si>
  <si>
    <t>Martha Stewart (Hard) 4%</t>
  </si>
  <si>
    <t>Leslie</t>
  </si>
  <si>
    <t>Storage Bench</t>
  </si>
  <si>
    <t>ACCENT BENCH</t>
  </si>
  <si>
    <t>48"W x 20"D x 18"H</t>
  </si>
  <si>
    <t>solid wood+plywood+upholstery</t>
  </si>
  <si>
    <t>AF2850/AF1870</t>
  </si>
  <si>
    <t>None KD</t>
  </si>
  <si>
    <t>9824-2 Maren Cream</t>
  </si>
  <si>
    <t>Lily Pond</t>
  </si>
  <si>
    <t>Piece</t>
  </si>
  <si>
    <t>ISTA 3A</t>
  </si>
  <si>
    <t>Normal</t>
  </si>
  <si>
    <t>MIN JIE COMPANY LIMITED</t>
  </si>
  <si>
    <t>9401.61.6011</t>
  </si>
  <si>
    <t>Comm</t>
  </si>
  <si>
    <t>Ho Chi Minh,Vietnam</t>
  </si>
  <si>
    <t>JLA MS Elmcrest B2</t>
  </si>
  <si>
    <t>F25B2S007C4</t>
  </si>
  <si>
    <t xml:space="preserve">Elmcrest </t>
  </si>
  <si>
    <t xml:space="preserve">Dining Chair </t>
  </si>
  <si>
    <t>DINING CHAIR</t>
  </si>
  <si>
    <t>24"W x 24.5"D x 37.5"H</t>
  </si>
  <si>
    <t>Rubberwood, plywood</t>
  </si>
  <si>
    <t>100% Polyester</t>
  </si>
  <si>
    <t>D2270</t>
  </si>
  <si>
    <t xml:space="preserve">Reclaimed Wheat </t>
  </si>
  <si>
    <t xml:space="preserve">Brass </t>
  </si>
  <si>
    <t>8915-14 Santa Cruz Chambray</t>
  </si>
  <si>
    <t>Bedford</t>
  </si>
  <si>
    <t>TAN NHAT WOOD CO., LTD.</t>
  </si>
  <si>
    <t>9401.61.4011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</si>
</sst>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&quot;$&quot;#,##0.00"/>
    <numFmt numFmtId="166" formatCode="0.000"/>
    <numFmt numFmtId="167" formatCode="[$￥-804]#,##0.00"/>
    <numFmt numFmtId="168" formatCode="[$¥-804]#,##0.00;[$¥-804]\-#,##0.00"/>
    <numFmt numFmtId="169" formatCode="[$¥-804]#,##0.00"/>
    <numFmt numFmtId="170" formatCode="_(* #,##0_);_(* \(#,##0\);_(* &quot;-&quot;??_);_(@_)"/>
    <numFmt numFmtId="171" formatCode="\$#,##0.00_);[Red]\(\$#,##0.00\)"/>
  </numFmts>
  <fonts count="1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7" fontId="4" fillId="0" borderId="0"/>
    <xf numFmtId="169" fontId="8" fillId="0" borderId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2" fillId="6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65" fontId="2" fillId="7" borderId="1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5" fontId="5" fillId="6" borderId="2" xfId="2" applyNumberFormat="1" applyFont="1" applyFill="1" applyBorder="1" applyAlignment="1">
      <alignment wrapText="1"/>
    </xf>
    <xf numFmtId="165" fontId="6" fillId="0" borderId="2" xfId="2" applyNumberFormat="1" applyFont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65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8" borderId="2" xfId="2" applyNumberFormat="1" applyFont="1" applyFill="1" applyBorder="1" applyAlignment="1">
      <alignment wrapText="1"/>
    </xf>
    <xf numFmtId="165" fontId="2" fillId="3" borderId="2" xfId="1" applyNumberFormat="1" applyFont="1" applyFill="1" applyBorder="1" applyAlignment="1">
      <alignment horizontal="center" wrapText="1"/>
    </xf>
    <xf numFmtId="165" fontId="2" fillId="9" borderId="2" xfId="1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7" fillId="10" borderId="2" xfId="3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left" vertical="top" wrapText="1"/>
    </xf>
    <xf numFmtId="2" fontId="1" fillId="11" borderId="2" xfId="1" applyNumberFormat="1" applyFill="1" applyBorder="1"/>
    <xf numFmtId="168" fontId="1" fillId="0" borderId="2" xfId="1" applyNumberFormat="1" applyBorder="1" applyAlignment="1">
      <alignment wrapText="1"/>
    </xf>
    <xf numFmtId="167" fontId="1" fillId="0" borderId="2" xfId="1" applyNumberFormat="1" applyBorder="1" applyAlignment="1">
      <alignment wrapText="1"/>
    </xf>
    <xf numFmtId="1" fontId="1" fillId="0" borderId="2" xfId="1" applyNumberFormat="1" applyBorder="1"/>
    <xf numFmtId="164" fontId="1" fillId="0" borderId="2" xfId="1" applyNumberFormat="1" applyBorder="1"/>
    <xf numFmtId="165" fontId="1" fillId="0" borderId="2" xfId="1" applyNumberFormat="1" applyBorder="1"/>
    <xf numFmtId="2" fontId="1" fillId="0" borderId="2" xfId="1" applyNumberFormat="1" applyBorder="1"/>
    <xf numFmtId="164" fontId="1" fillId="0" borderId="2" xfId="4" applyNumberFormat="1" applyFont="1" applyBorder="1" applyAlignment="1" applyProtection="1">
      <alignment horizontal="center" vertical="center" wrapText="1"/>
      <protection locked="0"/>
    </xf>
    <xf numFmtId="164" fontId="7" fillId="0" borderId="2" xfId="5" applyNumberFormat="1" applyFont="1" applyBorder="1" applyAlignment="1">
      <alignment horizontal="center" vertical="center" wrapText="1"/>
    </xf>
    <xf numFmtId="164" fontId="1" fillId="11" borderId="2" xfId="1" applyNumberFormat="1" applyFill="1" applyBorder="1"/>
    <xf numFmtId="1" fontId="1" fillId="11" borderId="2" xfId="1" applyNumberFormat="1" applyFill="1" applyBorder="1"/>
    <xf numFmtId="170" fontId="10" fillId="0" borderId="2" xfId="6" applyNumberFormat="1" applyFont="1" applyFill="1" applyBorder="1" applyAlignment="1">
      <alignment horizontal="center" vertical="center" wrapText="1"/>
    </xf>
    <xf numFmtId="166" fontId="1" fillId="11" borderId="2" xfId="1" applyNumberFormat="1" applyFill="1" applyBorder="1"/>
    <xf numFmtId="3" fontId="1" fillId="0" borderId="2" xfId="1" applyNumberFormat="1" applyBorder="1"/>
    <xf numFmtId="165" fontId="1" fillId="11" borderId="2" xfId="1" applyNumberFormat="1" applyFill="1" applyBorder="1"/>
    <xf numFmtId="9" fontId="1" fillId="0" borderId="2" xfId="1" applyNumberFormat="1" applyBorder="1"/>
    <xf numFmtId="10" fontId="1" fillId="0" borderId="2" xfId="1" applyNumberFormat="1" applyBorder="1"/>
    <xf numFmtId="10" fontId="0" fillId="11" borderId="2" xfId="7" applyNumberFormat="1" applyFont="1" applyFill="1" applyBorder="1" applyAlignment="1"/>
    <xf numFmtId="0" fontId="1" fillId="0" borderId="0" xfId="1"/>
    <xf numFmtId="171" fontId="1" fillId="0" borderId="2" xfId="1" applyNumberFormat="1" applyBorder="1"/>
    <xf numFmtId="38" fontId="1" fillId="0" borderId="2" xfId="1" applyNumberFormat="1" applyBorder="1"/>
    <xf numFmtId="164" fontId="1" fillId="10" borderId="2" xfId="4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1" applyNumberFormat="1" applyAlignment="1">
      <alignment wrapText="1"/>
    </xf>
  </cellXfs>
  <cellStyles count="8">
    <cellStyle name="Comma 5" xfId="6" xr:uid="{59778077-5A4F-40C8-8DF1-4399F2E3498C}"/>
    <cellStyle name="Normal" xfId="0" builtinId="0"/>
    <cellStyle name="Normal 158 2" xfId="3" xr:uid="{452DEC1A-72BC-4F69-B9EE-A6D286810834}"/>
    <cellStyle name="Normal 2" xfId="1" xr:uid="{DA789176-945E-4F11-B415-61748D91046B}"/>
    <cellStyle name="Normal 2 18 2" xfId="2" xr:uid="{7DBEBC3D-15BD-4416-89C5-724774E2F074}"/>
    <cellStyle name="Normal_ALL items_1" xfId="5" xr:uid="{FD510106-6D8A-41AE-BBDC-0B031706BAE8}"/>
    <cellStyle name="Normal_ALL items_1 2" xfId="4" xr:uid="{5F368669-3076-4274-A629-91BEA423B47F}"/>
    <cellStyle name="Percent 2" xfId="7" xr:uid="{DA155F1B-74D2-4409-8998-3CC696F81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1DF0-EB25-4E7C-8F5E-31CCD9AEEB34}">
  <dimension ref="A1:CP4"/>
  <sheetViews>
    <sheetView tabSelected="1" zoomScale="99" zoomScaleNormal="99" workbookViewId="0">
      <selection activeCell="D6" sqref="D6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7.81640625" style="2" customWidth="1"/>
    <col min="5" max="5" width="8.81640625" style="2" customWidth="1"/>
    <col min="6" max="6" width="9" style="2" customWidth="1"/>
    <col min="7" max="7" width="7.81640625" style="2" customWidth="1"/>
    <col min="8" max="8" width="9" style="2" customWidth="1"/>
    <col min="9" max="11" width="9.1796875" style="2" customWidth="1"/>
    <col min="12" max="13" width="7.453125" style="2" customWidth="1"/>
    <col min="14" max="15" width="11.1796875" style="2" customWidth="1"/>
    <col min="16" max="16" width="8.726562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12.08984375" style="2" customWidth="1"/>
    <col min="23" max="23" width="8.453125" style="2" customWidth="1"/>
    <col min="24" max="24" width="10.6328125" style="2" customWidth="1"/>
    <col min="25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8.7265625" style="2" customWidth="1"/>
    <col min="32" max="32" width="7.26953125" style="4" customWidth="1"/>
    <col min="33" max="33" width="8.08984375" style="5" customWidth="1"/>
    <col min="34" max="34" width="10.26953125" style="6" customWidth="1"/>
    <col min="35" max="35" width="8.08984375" style="6" customWidth="1"/>
    <col min="36" max="36" width="9.36328125" style="3" customWidth="1"/>
    <col min="37" max="37" width="10.7265625" style="3" customWidth="1"/>
    <col min="38" max="38" width="8.1796875" style="5" customWidth="1"/>
    <col min="39" max="41" width="8.81640625" style="5" customWidth="1"/>
    <col min="42" max="42" width="11.36328125" style="3" customWidth="1"/>
    <col min="43" max="43" width="8.1796875" style="5" customWidth="1"/>
    <col min="44" max="44" width="8.81640625" style="5" customWidth="1"/>
    <col min="45" max="46" width="7.1796875" style="5" customWidth="1"/>
    <col min="47" max="47" width="8.08984375" style="6" customWidth="1"/>
    <col min="48" max="48" width="6.1796875" style="4" customWidth="1"/>
    <col min="49" max="49" width="10" style="65" customWidth="1"/>
    <col min="50" max="50" width="10" style="3" customWidth="1"/>
    <col min="51" max="51" width="9.81640625" style="4" customWidth="1"/>
    <col min="52" max="52" width="9.54296875" style="2" customWidth="1"/>
    <col min="53" max="53" width="8.90625" style="6" customWidth="1"/>
    <col min="54" max="54" width="7.81640625" style="2" customWidth="1"/>
    <col min="55" max="55" width="8.453125" style="7" customWidth="1"/>
    <col min="56" max="57" width="9" style="6" customWidth="1"/>
    <col min="58" max="58" width="7.90625" style="7" customWidth="1"/>
    <col min="59" max="59" width="8.1796875" style="6" customWidth="1"/>
    <col min="60" max="60" width="10.26953125" style="7" customWidth="1"/>
    <col min="61" max="61" width="9.1796875" style="6" customWidth="1"/>
    <col min="62" max="62" width="7.81640625" style="6" customWidth="1"/>
    <col min="63" max="63" width="8.08984375" style="7" customWidth="1"/>
    <col min="64" max="66" width="9.1796875" style="6" customWidth="1"/>
    <col min="67" max="67" width="9.54296875" style="6" customWidth="1"/>
    <col min="68" max="68" width="12.1796875" style="6" customWidth="1"/>
    <col min="69" max="69" width="9.36328125" style="2" customWidth="1"/>
    <col min="70" max="70" width="7.90625" style="7" customWidth="1"/>
    <col min="71" max="71" width="8.1796875" style="6" customWidth="1"/>
    <col min="72" max="72" width="10.26953125" style="7" customWidth="1"/>
    <col min="73" max="73" width="9.1796875" style="6" customWidth="1"/>
    <col min="74" max="74" width="8.08984375" style="7" customWidth="1"/>
    <col min="75" max="75" width="9.1796875" style="6" customWidth="1"/>
    <col min="76" max="76" width="8.08984375" style="7" customWidth="1"/>
    <col min="77" max="77" width="9.1796875" style="6" customWidth="1"/>
    <col min="78" max="78" width="8.90625" style="7" customWidth="1"/>
    <col min="79" max="80" width="9.1796875" style="6" customWidth="1"/>
    <col min="81" max="81" width="11.6328125" style="7" customWidth="1"/>
    <col min="82" max="82" width="10.90625" style="6" customWidth="1"/>
    <col min="83" max="83" width="8.36328125" style="6" customWidth="1"/>
    <col min="84" max="84" width="9.90625" style="7" customWidth="1"/>
    <col min="85" max="85" width="9.90625" style="6" customWidth="1"/>
    <col min="86" max="86" width="7.81640625" style="6" customWidth="1"/>
    <col min="87" max="88" width="9.6328125" style="6" customWidth="1"/>
    <col min="89" max="91" width="12.1796875" style="6" customWidth="1"/>
    <col min="92" max="92" width="9.1796875" style="2" customWidth="1"/>
    <col min="93" max="93" width="9.1796875" style="2"/>
    <col min="94" max="94" width="11.6328125" style="6" customWidth="1"/>
    <col min="95" max="16384" width="9.1796875" style="2"/>
  </cols>
  <sheetData>
    <row r="1" spans="1:94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11" t="s">
        <v>12</v>
      </c>
      <c r="M1" s="11" t="s">
        <v>13</v>
      </c>
      <c r="N1" s="12" t="s">
        <v>14</v>
      </c>
      <c r="O1" s="13" t="s">
        <v>15</v>
      </c>
      <c r="P1" s="11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11" t="s">
        <v>27</v>
      </c>
      <c r="AC1" s="8" t="s">
        <v>28</v>
      </c>
      <c r="AD1" s="14" t="s">
        <v>29</v>
      </c>
      <c r="AE1" s="9" t="s">
        <v>30</v>
      </c>
      <c r="AF1" s="15" t="s">
        <v>31</v>
      </c>
      <c r="AG1" s="16" t="s">
        <v>32</v>
      </c>
      <c r="AH1" s="17" t="s">
        <v>33</v>
      </c>
      <c r="AI1" s="18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3" t="s">
        <v>43</v>
      </c>
      <c r="AS1" s="23" t="s">
        <v>44</v>
      </c>
      <c r="AT1" s="23" t="s">
        <v>45</v>
      </c>
      <c r="AU1" s="24" t="s">
        <v>46</v>
      </c>
      <c r="AV1" s="15" t="s">
        <v>47</v>
      </c>
      <c r="AW1" s="25" t="s">
        <v>48</v>
      </c>
      <c r="AX1" s="26" t="s">
        <v>49</v>
      </c>
      <c r="AY1" s="24" t="s">
        <v>50</v>
      </c>
      <c r="AZ1" s="8" t="s">
        <v>51</v>
      </c>
      <c r="BA1" s="27" t="s">
        <v>52</v>
      </c>
      <c r="BB1" s="8" t="s">
        <v>53</v>
      </c>
      <c r="BC1" s="28" t="s">
        <v>54</v>
      </c>
      <c r="BD1" s="29" t="s">
        <v>55</v>
      </c>
      <c r="BE1" s="27" t="s">
        <v>56</v>
      </c>
      <c r="BF1" s="28" t="s">
        <v>57</v>
      </c>
      <c r="BG1" s="27" t="s">
        <v>58</v>
      </c>
      <c r="BH1" s="28" t="s">
        <v>59</v>
      </c>
      <c r="BI1" s="27" t="s">
        <v>60</v>
      </c>
      <c r="BJ1" s="30" t="s">
        <v>61</v>
      </c>
      <c r="BK1" s="28" t="s">
        <v>62</v>
      </c>
      <c r="BL1" s="27" t="s">
        <v>63</v>
      </c>
      <c r="BM1" s="27" t="s">
        <v>64</v>
      </c>
      <c r="BN1" s="27" t="s">
        <v>65</v>
      </c>
      <c r="BO1" s="31" t="s">
        <v>66</v>
      </c>
      <c r="BP1" s="32" t="s">
        <v>67</v>
      </c>
      <c r="BQ1" s="9" t="s">
        <v>68</v>
      </c>
      <c r="BR1" s="28" t="s">
        <v>69</v>
      </c>
      <c r="BS1" s="27" t="s">
        <v>70</v>
      </c>
      <c r="BT1" s="28" t="s">
        <v>71</v>
      </c>
      <c r="BU1" s="27" t="s">
        <v>72</v>
      </c>
      <c r="BV1" s="28" t="s">
        <v>73</v>
      </c>
      <c r="BW1" s="27" t="s">
        <v>74</v>
      </c>
      <c r="BX1" s="28" t="s">
        <v>75</v>
      </c>
      <c r="BY1" s="27" t="s">
        <v>76</v>
      </c>
      <c r="BZ1" s="28" t="s">
        <v>77</v>
      </c>
      <c r="CA1" s="27" t="s">
        <v>78</v>
      </c>
      <c r="CB1" s="30" t="s">
        <v>79</v>
      </c>
      <c r="CC1" s="28" t="s">
        <v>80</v>
      </c>
      <c r="CD1" s="27" t="s">
        <v>81</v>
      </c>
      <c r="CE1" s="30" t="s">
        <v>82</v>
      </c>
      <c r="CF1" s="28" t="s">
        <v>83</v>
      </c>
      <c r="CG1" s="27" t="s">
        <v>84</v>
      </c>
      <c r="CH1" s="27" t="s">
        <v>85</v>
      </c>
      <c r="CI1" s="33" t="s">
        <v>86</v>
      </c>
      <c r="CJ1" s="34" t="s">
        <v>87</v>
      </c>
      <c r="CK1" s="35" t="s">
        <v>88</v>
      </c>
      <c r="CL1" s="33" t="s">
        <v>89</v>
      </c>
      <c r="CM1" s="33" t="s">
        <v>90</v>
      </c>
      <c r="CN1" s="36" t="s">
        <v>91</v>
      </c>
      <c r="CO1" s="33" t="s">
        <v>92</v>
      </c>
      <c r="CP1" s="37" t="s">
        <v>93</v>
      </c>
    </row>
    <row r="2" spans="1:94" s="61" customFormat="1" ht="14.5" customHeight="1">
      <c r="A2" s="38">
        <v>1</v>
      </c>
      <c r="B2" s="39"/>
      <c r="C2" s="39" t="s">
        <v>94</v>
      </c>
      <c r="D2" s="39"/>
      <c r="E2" s="39"/>
      <c r="F2" s="2" t="s">
        <v>95</v>
      </c>
      <c r="G2" s="39" t="s">
        <v>96</v>
      </c>
      <c r="H2" s="39" t="s">
        <v>97</v>
      </c>
      <c r="I2" s="40" t="s">
        <v>98</v>
      </c>
      <c r="J2" s="40" t="s">
        <v>98</v>
      </c>
      <c r="K2" s="40" t="s">
        <v>98</v>
      </c>
      <c r="L2" s="39" t="s">
        <v>99</v>
      </c>
      <c r="M2" s="39" t="s">
        <v>99</v>
      </c>
      <c r="N2" s="39" t="s">
        <v>100</v>
      </c>
      <c r="O2" s="39" t="s">
        <v>101</v>
      </c>
      <c r="P2" s="39"/>
      <c r="Q2" s="41" t="s">
        <v>102</v>
      </c>
      <c r="R2" s="42"/>
      <c r="S2" s="41" t="s">
        <v>103</v>
      </c>
      <c r="T2" s="43" t="str">
        <f>_xlfn.TEXTJOIN("; ",TRUE,Q2:S2)</f>
        <v>solid wood+plywood+upholstery; AF2850/AF1870</v>
      </c>
      <c r="U2" s="44"/>
      <c r="V2" s="45" t="s">
        <v>104</v>
      </c>
      <c r="W2" s="41"/>
      <c r="X2" s="41"/>
      <c r="Y2" s="41" t="s">
        <v>105</v>
      </c>
      <c r="Z2" s="41" t="s">
        <v>106</v>
      </c>
      <c r="AA2" s="43" t="str">
        <f>_xlfn.TEXTJOIN("; ",TRUE,V2:Z2)</f>
        <v>None KD; 9824-2 Maren Cream; Lily Pond</v>
      </c>
      <c r="AB2" s="39" t="s">
        <v>107</v>
      </c>
      <c r="AC2" s="39" t="s">
        <v>108</v>
      </c>
      <c r="AD2" s="39" t="s">
        <v>109</v>
      </c>
      <c r="AE2" s="39" t="s">
        <v>110</v>
      </c>
      <c r="AF2" s="46">
        <v>100</v>
      </c>
      <c r="AG2" s="47">
        <v>2.5</v>
      </c>
      <c r="AH2" s="48">
        <v>42.5</v>
      </c>
      <c r="AI2" s="48"/>
      <c r="AJ2" s="49"/>
      <c r="AK2" s="49"/>
      <c r="AL2" s="50">
        <v>49.5</v>
      </c>
      <c r="AM2" s="50">
        <v>21.5</v>
      </c>
      <c r="AN2" s="50">
        <v>19.5</v>
      </c>
      <c r="AO2" s="51"/>
      <c r="AP2" s="43">
        <f t="shared" ref="AP2:AP3" si="0">AK2*0.454</f>
        <v>0</v>
      </c>
      <c r="AQ2" s="52">
        <f t="shared" ref="AQ2:AT3" si="1">AL2*2.54</f>
        <v>125.7</v>
      </c>
      <c r="AR2" s="52">
        <f t="shared" si="1"/>
        <v>54.6</v>
      </c>
      <c r="AS2" s="52">
        <f t="shared" si="1"/>
        <v>49.5</v>
      </c>
      <c r="AT2" s="52">
        <f t="shared" si="1"/>
        <v>0</v>
      </c>
      <c r="AU2" s="53">
        <f t="shared" ref="AU2:AU3" si="2">MAX(ROUNDUP(AL2,0),ROUNDUP(AM2,0),ROUNDUP(AN2,0))+((MIN(ROUNDUP(AL2,0),ROUNDUP(AM2,0),ROUNDUP(AN2,0))+MEDIAN(ROUNDUP(AL2,0),ROUNDUP(AM2,0),ROUNDUP(AN2,0))))*2</f>
        <v>134</v>
      </c>
      <c r="AV2" s="54">
        <v>1</v>
      </c>
      <c r="AW2" s="55">
        <f>IF(AO2="",AQ2*AR2*AS2/1000000,AQ2*AR2*(AS2/2+AT2/2)/1000000)</f>
        <v>0.34</v>
      </c>
      <c r="AX2" s="49">
        <v>65</v>
      </c>
      <c r="AY2" s="53">
        <f t="shared" ref="AY2:AY3" si="3">IF(AV2="","",AX2/AW2*AV2)</f>
        <v>191</v>
      </c>
      <c r="AZ2" s="56">
        <v>3500</v>
      </c>
      <c r="BA2" s="57">
        <f t="shared" ref="BA2:BA3" si="4">IF(ISERROR(AZ2/AY2),"",AZ2/AY2)</f>
        <v>18.32</v>
      </c>
      <c r="BB2" s="48" t="s">
        <v>111</v>
      </c>
      <c r="BC2" s="58">
        <v>0</v>
      </c>
      <c r="BD2" s="57">
        <f t="shared" ref="BD2:BD3" si="5">IF(ISERROR(AH2*BC2),"",AH2*BC2)</f>
        <v>0</v>
      </c>
      <c r="BE2" s="57">
        <f t="shared" ref="BE2:BE3" si="6">IF(ISERROR(AH2+BA2+BD2),"",AH2+BA2+BD2)</f>
        <v>60.82</v>
      </c>
      <c r="BF2" s="59">
        <v>0.05</v>
      </c>
      <c r="BG2" s="57">
        <f>IF(ISERROR(BP2*BF2),"",BP2*BF2)</f>
        <v>3.5</v>
      </c>
      <c r="BH2" s="59">
        <v>0.04</v>
      </c>
      <c r="BI2" s="57">
        <f>IF(ISERROR(BP2*BH2),"",BP2*BH2)</f>
        <v>2.8</v>
      </c>
      <c r="BJ2" s="48" t="s">
        <v>112</v>
      </c>
      <c r="BK2" s="59">
        <v>0.05</v>
      </c>
      <c r="BL2" s="57">
        <f>IF(ISERROR(BP2*BK2),"",BP2*BK2)</f>
        <v>3.5</v>
      </c>
      <c r="BM2" s="57">
        <f>IF(ISERROR(BG2+BI2+BL2),"",BG2+BI2+BL2)</f>
        <v>9.8000000000000007</v>
      </c>
      <c r="BN2" s="57">
        <f>IF(ISERROR(AH2+BM2),"",AH2+BM2)</f>
        <v>52.3</v>
      </c>
      <c r="BO2" s="60">
        <f>IF(ISERROR((BP2-BN2)/BP2),"",(BP2-BN2)/BP2)</f>
        <v>0.25290000000000001</v>
      </c>
      <c r="BP2" s="48">
        <v>70</v>
      </c>
      <c r="BQ2" s="39" t="s">
        <v>113</v>
      </c>
      <c r="BR2" s="59">
        <v>0.08</v>
      </c>
      <c r="BS2" s="57">
        <f>IF(ISERROR(CK2*BR2),"",CK2*BR2)</f>
        <v>10.56</v>
      </c>
      <c r="BT2" s="59">
        <v>0.04</v>
      </c>
      <c r="BU2" s="57">
        <f>IF(ISERROR(CK2*BT2),"",CK2*BT2)</f>
        <v>5.28</v>
      </c>
      <c r="BV2" s="59">
        <v>0.06</v>
      </c>
      <c r="BW2" s="57">
        <f t="shared" ref="BW2:BW3" si="7">IF(ISERROR(CK2*BV2),"",CK2*BV2)</f>
        <v>7.92</v>
      </c>
      <c r="BX2" s="59">
        <v>0.05</v>
      </c>
      <c r="BY2" s="57">
        <f>IF(ISERROR(CK2*BX2),"",CK2*BX2)</f>
        <v>6.6</v>
      </c>
      <c r="BZ2" s="59">
        <v>0.1</v>
      </c>
      <c r="CA2" s="57">
        <f t="shared" ref="CA2:CA3" si="8">IF(ISERROR(CK2*BZ2),"",CK2*BZ2)</f>
        <v>13.2</v>
      </c>
      <c r="CB2" s="48"/>
      <c r="CC2" s="59"/>
      <c r="CD2" s="57">
        <f t="shared" ref="CD2:CD3" si="9">IF(ISERROR(CK2*CC2),"",CK2*CC2)</f>
        <v>0</v>
      </c>
      <c r="CF2" s="59"/>
      <c r="CG2" s="57">
        <f t="shared" ref="CG2:CG3" si="10">IF(ISERROR(CK2*CF2),"",CK2*CF2)</f>
        <v>0</v>
      </c>
      <c r="CH2" s="57">
        <f>IF(ISERROR(BS2+BU2+BW2+BY2+CA2+CD2+CG2),"",BS2+BU2+BW2+BY2+CA2+CD2+CG2)</f>
        <v>43.56</v>
      </c>
      <c r="CI2" s="57">
        <f t="shared" ref="CI2:CI3" si="11">IF(ISERROR(BE2+CH2),"",BE2+CH2)</f>
        <v>104.38</v>
      </c>
      <c r="CJ2" s="60">
        <f t="shared" ref="CJ2:CJ3" si="12">IF(ISERROR((CK2-CI2)/CK2),"",(CK2-CI2)/CK2)</f>
        <v>0.2092</v>
      </c>
      <c r="CK2" s="48">
        <v>132</v>
      </c>
      <c r="CL2" s="57">
        <f>IF(CK2="","",CK2*1.05)</f>
        <v>138.6</v>
      </c>
      <c r="CM2" s="57">
        <f>IF(CL2="","",CL2/0.75)</f>
        <v>184.8</v>
      </c>
      <c r="CN2" s="48">
        <v>279</v>
      </c>
      <c r="CO2" s="60">
        <f>IF(ISERROR((CN2-CL2)/CN2),"",(CN2-CL2)/CN2)</f>
        <v>0.50319999999999998</v>
      </c>
      <c r="CP2" s="62">
        <v>279</v>
      </c>
    </row>
    <row r="3" spans="1:94" s="61" customFormat="1">
      <c r="A3" s="38">
        <v>2</v>
      </c>
      <c r="B3" s="39"/>
      <c r="C3" s="39" t="s">
        <v>114</v>
      </c>
      <c r="D3" s="39"/>
      <c r="E3" s="39"/>
      <c r="F3" s="39" t="s">
        <v>115</v>
      </c>
      <c r="G3" s="39" t="s">
        <v>96</v>
      </c>
      <c r="H3" s="39" t="s">
        <v>97</v>
      </c>
      <c r="I3" s="39" t="s">
        <v>116</v>
      </c>
      <c r="J3" s="39" t="s">
        <v>116</v>
      </c>
      <c r="K3" s="39" t="s">
        <v>116</v>
      </c>
      <c r="L3" s="39" t="s">
        <v>117</v>
      </c>
      <c r="M3" s="39" t="s">
        <v>117</v>
      </c>
      <c r="N3" s="39" t="s">
        <v>118</v>
      </c>
      <c r="O3" s="39" t="s">
        <v>119</v>
      </c>
      <c r="P3" s="39"/>
      <c r="Q3" s="39" t="s">
        <v>120</v>
      </c>
      <c r="R3" s="39" t="s">
        <v>121</v>
      </c>
      <c r="S3" s="41" t="s">
        <v>122</v>
      </c>
      <c r="T3" s="43" t="str">
        <f t="shared" ref="T3" si="13">_xlfn.TEXTJOIN(";",TRUE,Q3:S3)</f>
        <v>Rubberwood, plywood;100% Polyester;D2270</v>
      </c>
      <c r="U3" s="63"/>
      <c r="V3" s="45" t="s">
        <v>104</v>
      </c>
      <c r="W3" s="39" t="s">
        <v>123</v>
      </c>
      <c r="X3" s="41" t="s">
        <v>124</v>
      </c>
      <c r="Y3" s="39" t="s">
        <v>125</v>
      </c>
      <c r="Z3" s="41" t="s">
        <v>126</v>
      </c>
      <c r="AA3" s="43" t="str">
        <f t="shared" ref="AA3" si="14">_xlfn.TEXTJOIN("; ",TRUE,V3:Z3)</f>
        <v>None KD; Reclaimed Wheat ; Brass ; 8915-14 Santa Cruz Chambray; Bedford</v>
      </c>
      <c r="AB3" s="39" t="s">
        <v>107</v>
      </c>
      <c r="AC3" s="39" t="s">
        <v>108</v>
      </c>
      <c r="AD3" s="39" t="s">
        <v>109</v>
      </c>
      <c r="AE3" s="39" t="s">
        <v>127</v>
      </c>
      <c r="AF3" s="61">
        <v>150</v>
      </c>
      <c r="AG3" s="47">
        <v>2</v>
      </c>
      <c r="AH3" s="48">
        <v>58.8</v>
      </c>
      <c r="AI3" s="48"/>
      <c r="AJ3" s="49"/>
      <c r="AK3" s="49"/>
      <c r="AL3" s="64">
        <v>26.5</v>
      </c>
      <c r="AM3" s="64">
        <v>27</v>
      </c>
      <c r="AN3" s="64">
        <v>40.5</v>
      </c>
      <c r="AO3" s="50">
        <v>23.8</v>
      </c>
      <c r="AP3" s="43">
        <f t="shared" si="0"/>
        <v>0</v>
      </c>
      <c r="AQ3" s="52">
        <f t="shared" si="1"/>
        <v>67.3</v>
      </c>
      <c r="AR3" s="52">
        <f t="shared" si="1"/>
        <v>68.599999999999994</v>
      </c>
      <c r="AS3" s="52">
        <f t="shared" si="1"/>
        <v>102.9</v>
      </c>
      <c r="AT3" s="52">
        <f t="shared" si="1"/>
        <v>60.5</v>
      </c>
      <c r="AU3" s="53">
        <f t="shared" si="2"/>
        <v>149</v>
      </c>
      <c r="AV3" s="54">
        <v>1</v>
      </c>
      <c r="AW3" s="55">
        <f t="shared" ref="AW3" si="15">IF(AO3="",AQ3*AR3*AS3/1000000,AQ3*AR3*(AS3/2+AT3/2)/1000000)</f>
        <v>0.377</v>
      </c>
      <c r="AX3" s="49">
        <v>65</v>
      </c>
      <c r="AY3" s="53">
        <f t="shared" si="3"/>
        <v>172</v>
      </c>
      <c r="AZ3" s="56">
        <v>3500</v>
      </c>
      <c r="BA3" s="57">
        <f t="shared" si="4"/>
        <v>20.350000000000001</v>
      </c>
      <c r="BB3" s="48" t="s">
        <v>128</v>
      </c>
      <c r="BC3" s="58">
        <v>0</v>
      </c>
      <c r="BD3" s="57">
        <f t="shared" si="5"/>
        <v>0</v>
      </c>
      <c r="BE3" s="57">
        <f t="shared" si="6"/>
        <v>79.150000000000006</v>
      </c>
      <c r="BF3" s="59">
        <v>0.05</v>
      </c>
      <c r="BG3" s="57">
        <f t="shared" ref="BG3" si="16">IF(ISERROR(BP3*BF3),"",BP3*BF3)</f>
        <v>4.8</v>
      </c>
      <c r="BH3" s="59">
        <v>0.04</v>
      </c>
      <c r="BI3" s="57">
        <f t="shared" ref="BI3" si="17">IF(ISERROR(BP3*BH3),"",BP3*BH3)</f>
        <v>3.84</v>
      </c>
      <c r="BJ3" s="48" t="s">
        <v>112</v>
      </c>
      <c r="BK3" s="59">
        <v>0.05</v>
      </c>
      <c r="BL3" s="57">
        <f t="shared" ref="BL3" si="18">IF(ISERROR(BP3*BK3),"",BP3*BK3)</f>
        <v>4.8</v>
      </c>
      <c r="BM3" s="57">
        <f t="shared" ref="BM3" si="19">IF(ISERROR(BG3+BI3+BL3),"",BG3+BI3+BL3)</f>
        <v>13.44</v>
      </c>
      <c r="BN3" s="57">
        <f t="shared" ref="BN3" si="20">IF(ISERROR(AH3+BM3),"",AH3+BM3)</f>
        <v>72.239999999999995</v>
      </c>
      <c r="BO3" s="60">
        <f t="shared" ref="BO3" si="21">IF(ISERROR((BP3-BN3)/BP3),"",(BP3-BN3)/BP3)</f>
        <v>0.2475</v>
      </c>
      <c r="BP3" s="48">
        <v>96</v>
      </c>
      <c r="BQ3" s="39" t="s">
        <v>113</v>
      </c>
      <c r="BR3" s="59">
        <v>0.08</v>
      </c>
      <c r="BS3" s="57">
        <f t="shared" ref="BS3" si="22">IF(ISERROR(CK3*BR3),"",CK3*BR3)</f>
        <v>14.76</v>
      </c>
      <c r="BT3" s="59">
        <v>0.04</v>
      </c>
      <c r="BU3" s="57">
        <f t="shared" ref="BU3" si="23">IF(ISERROR(CK3*BT3),"",CK3*BT3)</f>
        <v>7.38</v>
      </c>
      <c r="BV3" s="59">
        <v>0.06</v>
      </c>
      <c r="BW3" s="57">
        <f t="shared" si="7"/>
        <v>11.07</v>
      </c>
      <c r="BX3" s="59">
        <v>0.05</v>
      </c>
      <c r="BY3" s="57">
        <f t="shared" ref="BY3" si="24">IF(ISERROR(CK3*BX3),"",CK3*BX3)</f>
        <v>9.23</v>
      </c>
      <c r="BZ3" s="59">
        <v>0.1</v>
      </c>
      <c r="CA3" s="57">
        <f t="shared" si="8"/>
        <v>18.45</v>
      </c>
      <c r="CB3" s="48"/>
      <c r="CC3" s="59"/>
      <c r="CD3" s="57">
        <f t="shared" si="9"/>
        <v>0</v>
      </c>
      <c r="CE3" s="48"/>
      <c r="CF3" s="59"/>
      <c r="CG3" s="57">
        <f t="shared" si="10"/>
        <v>0</v>
      </c>
      <c r="CH3" s="57">
        <f t="shared" ref="CH3" si="25">IF(ISERROR(BS3+BU3+BW3+BY3+CA3+CD3+CG3),"",BS3+BU3+BW3+BY3+CA3+CD3+CG3)</f>
        <v>60.89</v>
      </c>
      <c r="CI3" s="57">
        <f t="shared" si="11"/>
        <v>140.04</v>
      </c>
      <c r="CJ3" s="60">
        <f t="shared" si="12"/>
        <v>0.24099999999999999</v>
      </c>
      <c r="CK3" s="48">
        <v>184.5</v>
      </c>
      <c r="CL3" s="57">
        <f t="shared" ref="CL3" si="26">IF(CK3="","",CK3*1.05)</f>
        <v>193.73</v>
      </c>
      <c r="CM3" s="57">
        <f t="shared" ref="CM3" si="27">IF(CL3="","",CL3/0.75)</f>
        <v>258.31</v>
      </c>
      <c r="CN3" s="48">
        <v>389</v>
      </c>
      <c r="CO3" s="60">
        <f t="shared" ref="CO3" si="28">IF(ISERROR((CN3-CL3)/CN3),"",(CN3-CL3)/CN3)</f>
        <v>0.502</v>
      </c>
      <c r="CP3" s="62">
        <v>389</v>
      </c>
    </row>
    <row r="4" spans="1:94">
      <c r="BO4" s="7"/>
      <c r="CJ4" s="7"/>
      <c r="CN4" s="6"/>
      <c r="CO4" s="7"/>
    </row>
  </sheetData>
  <sheetProtection insertRows="0" deleteRows="0" sort="0"/>
  <protectedRanges>
    <protectedRange sqref="T2:T246 AW2:AY3 BP2:BP3 G2:H2 CK5:CM246 CN4 L2 BP5:BP246 A2:E3 CH4:CJ246 CO2:CO4 A4:P246 F3:L3 M2:P3 AF4:AF246 AF2:AJ2 AK4:BG246 BQ2:BS246 BJ2:BO246 AG3:AJ246 AA2:AE246 CH2:CM3 BD2:BG3 U3 BA2:BA3" name="Range1"/>
    <protectedRange sqref="AP2:AT3 AK2:AK3" name="Range1_2"/>
    <protectedRange sqref="AZ2:AZ3" name="Range1_3"/>
    <protectedRange sqref="BB2:BC3" name="Range1_4"/>
    <protectedRange sqref="CN2:CN3" name="Range1_5"/>
    <protectedRange sqref="BT2:CA208 BH2:BI208" name="Range1_1"/>
    <protectedRange sqref="CF2:CG2 CB2:CD2 CB3:CG208" name="Range1_7"/>
    <protectedRange sqref="U4:U249 U2 V2:Z249 Q2:S249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2025-09-22T19:30:51Z</dcterms:created>
  <dcterms:modified xsi:type="dcterms:W3CDTF">2025-09-22T19:32:08Z</dcterms:modified>
</cp:coreProperties>
</file>