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'[2]x-Lists'!$AH$2:$AH$12</definedName>
    <definedName name="ALLOCATION">'[2]x-Lists'!$Q$2</definedName>
    <definedName name="AssortedSKU_Range">[3]Mapping!$J$2:$J$3</definedName>
    <definedName name="BIG_IDEAS">'[2]x-Lists'!$AU$2:$AU$17</definedName>
    <definedName name="BULKPREPACKTYPE">'[2]x-Lists'!$H$2:$H$4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O_Dest">[3]COO!$D$1:$D$3:'[3]COO'!$D$2</definedName>
    <definedName name="COOCountry_Range">[3]Mapping!$R$2:$R$245</definedName>
    <definedName name="COODest_Range">[3]Mapping!$P$2:$P$3</definedName>
    <definedName name="d">[4]Mapping!$AR$2:$AR$84</definedName>
    <definedName name="_xlnm.Database">'[2]x-Lists'!$A$2:$A$9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'[2]x-imports'!$B$2:$B$3</definedName>
    <definedName name="DIAMETER">'[2]x-Lists'!$AM$2:$AM$9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'[2]x-Lists'!$AR$2:$AR$7</definedName>
    <definedName name="FOBPORT">'[2]x-imports'!$C$2:$C$40</definedName>
    <definedName name="FREIGHT">'[2]x-Lists'!$I$2:$I$5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'[2]x-Lists'!$AD$2:$AD$5</definedName>
    <definedName name="HOLIDAY">'[2]x-Lists'!$AP$2:$AP$10</definedName>
    <definedName name="LicensedProduct_Range">[3]Mapping!$AF$2:$AF$3</definedName>
    <definedName name="LIFESTYLE">'[2]x-Lists'!$T$2:$T$5</definedName>
    <definedName name="LOCALIZATION__PRICEPOINT">'[2]x-Lists'!$Z$2:$Z$5</definedName>
    <definedName name="MATERIAL">'[2]x-Lists'!$AE$2:$AE$83</definedName>
    <definedName name="PACK_SET">'[2]x-Lists'!$AO$2:$AO$34</definedName>
    <definedName name="PATTERN">'[2]x-Lists'!$AF$2:$AF$49</definedName>
    <definedName name="PAYMENTTERMS">'[2]x-imports'!$E$2:$E$3</definedName>
    <definedName name="PO_BUY_TYPE">'[2]x-Lists'!$W$2:$W$5</definedName>
    <definedName name="PORT_IFF">[5]a!$A$10:$B$35</definedName>
    <definedName name="Preticketed_Range">[3]Mapping!$H$2:$H$3</definedName>
    <definedName name="QUEUING">'[2]x-Lists'!$P$2</definedName>
    <definedName name="QUEUING_ITEMS">'[2]x-Lists'!$Y$2:$Y$50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'[2]x-Lists'!$E$2:$E$5</definedName>
    <definedName name="SEASON">'[2]x-Lists'!$L$2:$L$6</definedName>
    <definedName name="SellUnits_Range">[3]Mapping!$D$2:$D$53</definedName>
    <definedName name="SHAPE">'[2]x-Lists'!$AK$2:$AK$10</definedName>
    <definedName name="SHIPTO">'[2]x-Lists'!$B$2:$B$6</definedName>
    <definedName name="SIZE">'[2]x-Lists'!$AL$2:$AL$66</definedName>
    <definedName name="SPECIAL_PROCESSING">'[2]x-Lists'!$R$2:$R$15</definedName>
    <definedName name="suggestedMessage_Range">[3]Mapping!$BF$2:$BF$3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TYPE">'[2]x-Lists'!$N$2:$N$8</definedName>
    <definedName name="TREATMENT">'[2]x-Lists'!$AT$2:$AT$28</definedName>
    <definedName name="WEB_SIZE_CHART">'[2]x-Lists'!$X$2:$X$46</definedName>
    <definedName name="YESNO">'[2]x-Lists'!$D$2:$D$3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4" i="1" l="1"/>
  <c r="BD4" i="1"/>
  <c r="AS4" i="1"/>
  <c r="AR4" i="1"/>
  <c r="AP4" i="1"/>
  <c r="AM4" i="1"/>
  <c r="AI4" i="1"/>
  <c r="AJ4" i="1" s="1"/>
  <c r="AE4" i="1"/>
  <c r="AG4" i="1" s="1"/>
  <c r="AK4" i="1" s="1"/>
  <c r="AD4" i="1"/>
  <c r="U4" i="1"/>
  <c r="BF3" i="1"/>
  <c r="BD3" i="1"/>
  <c r="AS3" i="1"/>
  <c r="AR3" i="1"/>
  <c r="AP3" i="1"/>
  <c r="AM3" i="1"/>
  <c r="AI3" i="1"/>
  <c r="AJ3" i="1" s="1"/>
  <c r="AD3" i="1"/>
  <c r="AE3" i="1" s="1"/>
  <c r="AG3" i="1" s="1"/>
  <c r="U3" i="1"/>
  <c r="BF2" i="1"/>
  <c r="BD2" i="1"/>
  <c r="AS2" i="1"/>
  <c r="AR2" i="1"/>
  <c r="AP2" i="1"/>
  <c r="AM2" i="1"/>
  <c r="AI2" i="1"/>
  <c r="AJ2" i="1" s="1"/>
  <c r="AE2" i="1"/>
  <c r="AG2" i="1" s="1"/>
  <c r="AK2" i="1" s="1"/>
  <c r="AD2" i="1"/>
  <c r="U2" i="1"/>
  <c r="AY2" i="1" l="1"/>
  <c r="AZ2" i="1" s="1"/>
  <c r="AY4" i="1"/>
  <c r="AZ4" i="1" s="1"/>
  <c r="AK3" i="1"/>
  <c r="AY3" i="1" s="1"/>
  <c r="AZ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[LDP Cost $]+[General Load $]+[Load 1 $]</t>
        </r>
      </text>
    </comment>
    <comment ref="AU1" authorId="0" shapeId="0">
      <text>
        <r>
          <rPr>
            <sz val="11"/>
            <rFont val="Calibri"/>
            <family val="2"/>
          </rPr>
          <t>[JLA Quoted Price w/ Load]*0.975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(Formula)]-[POE Cost with Load $])/[JLA POE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[LDP Cost $]+[General Load $]+[Warehouse Charge $]+[Load 1 $]</t>
        </r>
      </text>
    </comment>
    <comment ref="AX1" authorId="0" shapeId="0">
      <text>
        <r>
          <rPr>
            <sz val="11"/>
            <rFont val="Calibri"/>
            <family val="2"/>
          </rPr>
          <t>([JLA Quoted Price w/ Load]-[Domestic Warehouse Cost w/ Load $])/[JLA Quoted Price w/ Load]</t>
        </r>
      </text>
    </comment>
    <comment ref="AY1" authorId="0" shapeId="0">
      <text>
        <r>
          <rPr>
            <sz val="11"/>
            <rFont val="Calibri"/>
            <family val="2"/>
          </rPr>
          <t>[LDP Cost $]+[General Load $]+[Warehouse Charge $]+[Dropship Charge]</t>
        </r>
      </text>
    </comment>
    <comment ref="AZ1" authorId="0" shapeId="0">
      <text>
        <r>
          <rPr>
            <sz val="11"/>
            <rFont val="Calibri"/>
            <family val="2"/>
          </rPr>
          <t>([JLA Quoted Price w/ Load]-[Drop Ship Cost with Load $])/[JLA Quoted Price w/ Load]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Quoted Price w/ Load])/[Suggested Retail Price]</t>
        </r>
      </text>
    </comment>
    <comment ref="BF1" authorId="0" shapeId="0">
      <text>
        <r>
          <rPr>
            <sz val="11"/>
            <rFont val="Calibri"/>
            <family val="2"/>
          </rPr>
          <t>[JLA Quoted Price w/ Load]*[Total Quantity]</t>
        </r>
      </text>
    </comment>
  </commentList>
</comments>
</file>

<file path=xl/sharedStrings.xml><?xml version="1.0" encoding="utf-8"?>
<sst xmlns="http://schemas.openxmlformats.org/spreadsheetml/2006/main" count="100" uniqueCount="77">
  <si>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</si>
  <si>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</si>
  <si>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</si>
  <si>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</si>
  <si>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</si>
  <si>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</si>
  <si>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</si>
  <si>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</si>
  <si>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</si>
  <si>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</si>
  <si>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</si>
  <si>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</si>
  <si>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</si>
  <si>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</si>
  <si>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</si>
  <si>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</si>
  <si>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</si>
  <si>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</si>
  <si>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</si>
  <si>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</si>
  <si>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</si>
  <si>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</si>
  <si>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</si>
  <si>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</si>
  <si>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</si>
  <si>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</si>
  <si>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</si>
  <si>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</si>
  <si>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</si>
  <si>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</si>
  <si>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</si>
  <si>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</si>
  <si>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</si>
  <si>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</si>
  <si>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</si>
  <si>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</si>
  <si>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</si>
  <si>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</si>
  <si>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</si>
  <si>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</si>
  <si>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</si>
  <si>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</si>
  <si>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Warehouse Charge %</t>
  </si>
  <si>
    <t>Warehouse Charge $</t>
  </si>
  <si>
    <t>Dropship Charge</t>
  </si>
  <si>
    <t>POE Cost with Load $</t>
  </si>
  <si>
    <t>JLA POE Price Quote (Formula)</t>
  </si>
  <si>
    <t>JLA POE MU%</t>
  </si>
  <si>
    <t>Domestic Warehouse Cost w/ Load</t>
  </si>
  <si>
    <t>JLA Domestic MU%</t>
  </si>
  <si>
    <t>Drop Ship Cost with Load $</t>
  </si>
  <si>
    <t>JLA Dropship MU%</t>
  </si>
  <si>
    <t>JLA Quoted Price w/ Load</t>
  </si>
  <si>
    <t>Additional Customer Price</t>
  </si>
  <si>
    <t>Suggested Retail Price</t>
  </si>
  <si>
    <t>Retailer IMU</t>
  </si>
  <si>
    <t>Total Quantity</t>
  </si>
  <si>
    <t>Total Sales</t>
  </si>
  <si>
    <t>Madison Park</t>
  </si>
  <si>
    <t>COMFORTER (SET)</t>
  </si>
  <si>
    <t>Abella</t>
    <phoneticPr fontId="2" type="noConversion"/>
  </si>
  <si>
    <t>100% Polyester Abella 6pc Comforter Set with coordinating pillows</t>
    <phoneticPr fontId="2" type="noConversion"/>
  </si>
  <si>
    <t xml:space="preserve">6pcs comforter set </t>
  </si>
  <si>
    <t xml:space="preserve">Comforter/Sham face: 100% poly jacquard.             
Back: 75gsm 100% polyester solid micro fiber                   
Filling: 220gsm polyester        
Bedskirt drop: 100% polyester solid, Platform: non woven fabric                                        
Dec pillow: polyester with polyfill </t>
    <phoneticPr fontId="2" type="noConversion"/>
  </si>
  <si>
    <t xml:space="preserve">100% Polyester jacquard </t>
    <phoneticPr fontId="2" type="noConversion"/>
  </si>
  <si>
    <t>Queen: 90x92" /20x26" (2)/60x80+15"/12x16"(1)/16x16" (1)</t>
  </si>
  <si>
    <t>Ivory/Tan</t>
    <phoneticPr fontId="2" type="noConversion"/>
  </si>
  <si>
    <t>KL10-3819</t>
  </si>
  <si>
    <t>Piece</t>
  </si>
  <si>
    <t>Partially Compressed</t>
  </si>
  <si>
    <t>9404.40.9022</t>
  </si>
  <si>
    <t>Funding</t>
  </si>
  <si>
    <t xml:space="preserve">Comforter/Sham face: 100% poly jacquard.             
Back: 75gsm 100% polyester solid micro fiber                   
Filling: 220gsm polyester        
Bedskirt drop: 100% polyester solid, Platform: non woven fabric                                        
Dec pillow: polyester with polyfill </t>
  </si>
  <si>
    <t>King: 106x94"/20x36"(2)/78x80+15"/12x16"(1)/16x16"(1)</t>
    <phoneticPr fontId="2" type="noConversion"/>
  </si>
  <si>
    <t>KL10-3820</t>
  </si>
  <si>
    <t>Cal King: 106x94"/20x36"(2)/72x84+15"/12x16"(1)/16x16"(1)</t>
    <phoneticPr fontId="2" type="noConversion"/>
  </si>
  <si>
    <t>KL10-3821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</si>
</sst>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[$¥-478]#,##0.00"/>
    <numFmt numFmtId="177" formatCode="&quot;$&quot;#,##0.00"/>
    <numFmt numFmtId="178" formatCode="0.0"/>
    <numFmt numFmtId="179" formatCode="0.000"/>
    <numFmt numFmtId="180" formatCode="_([$$-409]* #,##0.00_);_([$$-409]* \(#,##0.00\);_([$$-409]* &quot;-&quot;??_);_(@_)"/>
    <numFmt numFmtId="181" formatCode="_(&quot;$&quot;* #,##0.00_);_(&quot;$&quot;* \(#,##0.00\);_(&quot;$&quot;* &quot;-&quot;??_);_(@_)"/>
    <numFmt numFmtId="182" formatCode="0.0%"/>
    <numFmt numFmtId="183" formatCode="&quot;$&quot;#,##0.00_);[Red]\(&quot;$&quot;#,##0.00\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1"/>
      <color theme="1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18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9" fillId="0" borderId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180" fontId="5" fillId="5" borderId="1" xfId="0" applyNumberFormat="1" applyFont="1" applyFill="1" applyBorder="1" applyAlignment="1">
      <alignment horizontal="center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1" fillId="0" borderId="1" xfId="4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82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8" fillId="8" borderId="1" xfId="5" applyNumberFormat="1" applyFont="1" applyFill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83" fontId="0" fillId="0" borderId="1" xfId="0" applyNumberFormat="1" applyBorder="1" applyAlignment="1">
      <alignment wrapText="1"/>
    </xf>
  </cellXfs>
  <cellStyles count="7">
    <cellStyle name="Currency 2" xfId="3"/>
    <cellStyle name="Normal 11" xfId="6"/>
    <cellStyle name="Normal 2" xfId="1"/>
    <cellStyle name="Normal 2 18 2" xfId="2"/>
    <cellStyle name="Percent 2" xfId="5"/>
    <cellStyle name="常规" xfId="0" builtinId="0"/>
    <cellStyle name="常规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125433</xdr:colOff>
      <xdr:row>1</xdr:row>
      <xdr:rowOff>153342</xdr:rowOff>
    </xdr:from>
    <xdr:to>
      <xdr:col>1</xdr:col>
      <xdr:colOff>1583581</xdr:colOff>
      <xdr:row>2</xdr:row>
      <xdr:rowOff>270935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830AD97-8C68-FF1D-833F-83B8F51BE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708" y="1391592"/>
          <a:ext cx="1458148" cy="14606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Webex%20SP26%20MP%20Abella%206pc%20Comforter%20Set%20Commitment%20Sheet%2009%2022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qianyueyun\Local%20Settings\Temporary%20Internet%20Files\Content.Outlook\S0EW6CGV\BBB%20VENDOR%20SET%20UP%20%20ROVERTALLEN%20CHARLESTON%206%2015%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assie 09 16 25"/>
      <sheetName val="Cassie 0605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4"/>
  <sheetViews>
    <sheetView tabSelected="1" zoomScale="81" zoomScaleNormal="81" workbookViewId="0">
      <pane ySplit="1" topLeftCell="A2" activePane="bottomLeft" state="frozen"/>
      <selection pane="bottomLeft" activeCell="H14" sqref="H14"/>
    </sheetView>
  </sheetViews>
  <sheetFormatPr defaultColWidth="9.140625" defaultRowHeight="15" x14ac:dyDescent="0.25"/>
  <cols>
    <col min="1" max="1" width="10.140625" style="1" customWidth="1"/>
    <col min="2" max="2" width="24.140625" style="2" customWidth="1"/>
    <col min="3" max="3" width="8.42578125" style="2" customWidth="1"/>
    <col min="4" max="4" width="14.5703125" style="2" customWidth="1"/>
    <col min="5" max="5" width="12.7109375" style="2" customWidth="1"/>
    <col min="6" max="6" width="15.7109375" style="2" customWidth="1"/>
    <col min="7" max="7" width="11.140625" style="2" customWidth="1"/>
    <col min="8" max="8" width="24.28515625" style="2" customWidth="1"/>
    <col min="9" max="9" width="14.28515625" style="2" customWidth="1"/>
    <col min="10" max="10" width="54.28515625" style="2" customWidth="1"/>
    <col min="11" max="11" width="25" style="3" customWidth="1"/>
    <col min="12" max="12" width="31.5703125" style="2" customWidth="1"/>
    <col min="13" max="13" width="13.140625" style="2" customWidth="1"/>
    <col min="14" max="16" width="13.28515625" style="2" customWidth="1"/>
    <col min="17" max="17" width="16.140625" style="2" customWidth="1"/>
    <col min="18" max="18" width="8.42578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13.5703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14.42578125" style="2" customWidth="1"/>
    <col min="35" max="35" width="8.42578125" style="10" customWidth="1"/>
    <col min="36" max="36" width="9" style="6" customWidth="1"/>
    <col min="37" max="37" width="8.42578125" style="6" customWidth="1"/>
    <col min="38" max="38" width="8.140625" style="10" customWidth="1"/>
    <col min="39" max="42" width="9.28515625" style="6" customWidth="1"/>
    <col min="43" max="43" width="11.5703125" style="10" customWidth="1"/>
    <col min="44" max="44" width="10.85546875" style="6" customWidth="1"/>
    <col min="45" max="45" width="9.5703125" style="2" customWidth="1"/>
    <col min="46" max="46" width="11.85546875" style="6" customWidth="1"/>
    <col min="47" max="47" width="10.42578125" style="6" customWidth="1"/>
    <col min="48" max="48" width="9.42578125" style="10" customWidth="1"/>
    <col min="49" max="49" width="9.7109375" style="10" customWidth="1"/>
    <col min="50" max="50" width="9.5703125" style="10" customWidth="1"/>
    <col min="51" max="52" width="9.42578125" style="10" customWidth="1"/>
    <col min="53" max="53" width="9.5703125" style="6" customWidth="1"/>
    <col min="54" max="54" width="12.5703125" style="6" customWidth="1"/>
    <col min="55" max="55" width="11.85546875" style="6" customWidth="1"/>
    <col min="56" max="56" width="12.140625" style="10" customWidth="1"/>
    <col min="57" max="57" width="12.140625" style="6" customWidth="1"/>
    <col min="58" max="58" width="14.5703125" style="2" customWidth="1"/>
    <col min="59" max="59" width="9.140625" style="2"/>
    <col min="60" max="61" width="9.140625" style="6"/>
    <col min="62" max="16384" width="9.140625" style="2"/>
  </cols>
  <sheetData>
    <row r="1" spans="1:61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24" t="s">
        <v>39</v>
      </c>
      <c r="AO1" s="31" t="s">
        <v>40</v>
      </c>
      <c r="AP1" s="30" t="s">
        <v>41</v>
      </c>
      <c r="AQ1" s="31" t="s">
        <v>42</v>
      </c>
      <c r="AR1" s="30" t="s">
        <v>43</v>
      </c>
      <c r="AS1" s="13" t="s">
        <v>44</v>
      </c>
      <c r="AT1" s="33" t="s">
        <v>45</v>
      </c>
      <c r="AU1" s="33" t="s">
        <v>46</v>
      </c>
      <c r="AV1" s="34" t="s">
        <v>47</v>
      </c>
      <c r="AW1" s="34" t="s">
        <v>48</v>
      </c>
      <c r="AX1" s="34" t="s">
        <v>49</v>
      </c>
      <c r="AY1" s="34" t="s">
        <v>50</v>
      </c>
      <c r="AZ1" s="34" t="s">
        <v>51</v>
      </c>
      <c r="BA1" s="35" t="s">
        <v>52</v>
      </c>
      <c r="BB1" s="36" t="s">
        <v>53</v>
      </c>
      <c r="BC1" s="37" t="s">
        <v>54</v>
      </c>
      <c r="BD1" s="34" t="s">
        <v>55</v>
      </c>
      <c r="BE1" s="13" t="s">
        <v>56</v>
      </c>
      <c r="BF1" s="30" t="s">
        <v>57</v>
      </c>
      <c r="BH1" s="2"/>
      <c r="BI1" s="2"/>
    </row>
    <row r="2" spans="1:61" ht="105.75" customHeight="1" x14ac:dyDescent="0.25">
      <c r="A2" s="38">
        <v>1</v>
      </c>
      <c r="B2" s="39"/>
      <c r="C2" s="39"/>
      <c r="D2" s="40" t="s">
        <v>58</v>
      </c>
      <c r="E2" s="40"/>
      <c r="F2" s="40" t="s">
        <v>59</v>
      </c>
      <c r="G2" s="41" t="s">
        <v>60</v>
      </c>
      <c r="H2" s="41" t="s">
        <v>61</v>
      </c>
      <c r="I2" s="41" t="s">
        <v>62</v>
      </c>
      <c r="J2" s="41" t="s">
        <v>63</v>
      </c>
      <c r="K2" s="42" t="s">
        <v>64</v>
      </c>
      <c r="L2" s="39" t="s">
        <v>65</v>
      </c>
      <c r="M2" s="41" t="s">
        <v>66</v>
      </c>
      <c r="N2" s="39"/>
      <c r="O2" s="39"/>
      <c r="P2" s="43" t="s">
        <v>67</v>
      </c>
      <c r="Q2" s="39"/>
      <c r="R2" s="39" t="s">
        <v>68</v>
      </c>
      <c r="S2" s="39">
        <v>137.5</v>
      </c>
      <c r="T2" s="39">
        <v>8.1</v>
      </c>
      <c r="U2" s="44">
        <f>S2/T2</f>
        <v>16.97530864197531</v>
      </c>
      <c r="V2" s="45">
        <v>16.98</v>
      </c>
      <c r="W2" s="12"/>
      <c r="X2" s="39" t="s">
        <v>69</v>
      </c>
      <c r="Y2" s="46">
        <v>57</v>
      </c>
      <c r="Z2" s="46">
        <v>56</v>
      </c>
      <c r="AA2" s="46">
        <v>26</v>
      </c>
      <c r="AB2" s="47">
        <v>5</v>
      </c>
      <c r="AC2" s="39">
        <v>1</v>
      </c>
      <c r="AD2" s="48">
        <f t="shared" ref="AD2:AD4" si="0">IF(Y2="","",Y2*Z2*AA2/1000000)</f>
        <v>8.2991999999999996E-2</v>
      </c>
      <c r="AE2" s="49">
        <f t="shared" ref="AE2:AE4" si="1">IF(AC2="","",65/AD2*AC2)</f>
        <v>783.20802005012536</v>
      </c>
      <c r="AF2" s="39">
        <v>3300</v>
      </c>
      <c r="AG2" s="50">
        <f t="shared" ref="AG2:AG4" si="2">IF(ISERROR(AF2/AE2),"",AF2/AE2)</f>
        <v>4.2134399999999994</v>
      </c>
      <c r="AH2" s="39" t="s">
        <v>70</v>
      </c>
      <c r="AI2" s="51">
        <f>12.8%+30%</f>
        <v>0.42799999999999999</v>
      </c>
      <c r="AJ2" s="50">
        <f t="shared" ref="AJ2:AJ4" si="3">IF(ISERROR(V2*AI2),"",V2*AI2)</f>
        <v>7.2674399999999997</v>
      </c>
      <c r="AK2" s="50">
        <f t="shared" ref="AK2:AK4" si="4">IF(ISERROR(V2+AG2+AJ2),"",V2+AG2+AJ2)</f>
        <v>28.46088</v>
      </c>
      <c r="AL2" s="52">
        <v>0.1</v>
      </c>
      <c r="AM2" s="50">
        <f t="shared" ref="AM2:AM4" si="5">IF(ISERROR(BA2*AL2),"",BA2*AL2)</f>
        <v>4.218</v>
      </c>
      <c r="AN2" s="39" t="s">
        <v>71</v>
      </c>
      <c r="AO2" s="52">
        <v>4.2000000000000003E-2</v>
      </c>
      <c r="AP2" s="50">
        <f t="shared" ref="AP2:AP4" si="6">IF(ISERROR(BA2*AO2),"",BA2*AO2)</f>
        <v>1.77156</v>
      </c>
      <c r="AQ2" s="52">
        <v>0.08</v>
      </c>
      <c r="AR2" s="50">
        <f t="shared" ref="AR2:AR4" si="7">IF(ISERROR(BA2*AQ2),"",BA2*AQ2)</f>
        <v>3.3744000000000001</v>
      </c>
      <c r="AS2" s="12">
        <f>2.5-BA2*0.05</f>
        <v>0.39100000000000001</v>
      </c>
      <c r="AT2" s="50"/>
      <c r="AU2" s="50"/>
      <c r="AV2" s="53"/>
      <c r="AW2" s="50"/>
      <c r="AX2" s="54"/>
      <c r="AY2" s="50">
        <f>IF(ISERROR(AK2+AM2+AR2+AS2),"",(AK2+AM2+AR2+AS2))</f>
        <v>36.444279999999999</v>
      </c>
      <c r="AZ2" s="53">
        <f t="shared" ref="AZ2:AZ4" si="8">IF(ISERROR((BA2-AY2)/BA2),"",(BA2-AY2)/BA2)</f>
        <v>0.135981981981982</v>
      </c>
      <c r="BA2" s="12">
        <v>42.18</v>
      </c>
      <c r="BB2" s="12"/>
      <c r="BC2" s="55">
        <v>169.99</v>
      </c>
      <c r="BD2" s="54">
        <f>IF(ISERROR((BC2-BA2)/BC2),"",(BC2-BA2)/BC2)</f>
        <v>0.75186775692687802</v>
      </c>
      <c r="BE2" s="11"/>
      <c r="BF2" s="50">
        <f t="shared" ref="BF2:BF4" si="9">IF(ISERROR(BA2*BE2),"",BA2*BE2)</f>
        <v>0</v>
      </c>
      <c r="BH2" s="2"/>
      <c r="BI2" s="2"/>
    </row>
    <row r="3" spans="1:61" ht="108.75" customHeight="1" x14ac:dyDescent="0.25">
      <c r="A3" s="38">
        <v>2</v>
      </c>
      <c r="B3" s="39"/>
      <c r="C3" s="39"/>
      <c r="D3" s="40" t="s">
        <v>58</v>
      </c>
      <c r="E3" s="40"/>
      <c r="F3" s="40" t="s">
        <v>59</v>
      </c>
      <c r="G3" s="41" t="s">
        <v>60</v>
      </c>
      <c r="H3" s="41" t="s">
        <v>61</v>
      </c>
      <c r="I3" s="41" t="s">
        <v>62</v>
      </c>
      <c r="J3" s="41" t="s">
        <v>72</v>
      </c>
      <c r="K3" s="42" t="s">
        <v>64</v>
      </c>
      <c r="L3" s="41" t="s">
        <v>73</v>
      </c>
      <c r="M3" s="41" t="s">
        <v>66</v>
      </c>
      <c r="N3" s="39"/>
      <c r="O3" s="39"/>
      <c r="P3" s="43" t="s">
        <v>74</v>
      </c>
      <c r="Q3" s="39"/>
      <c r="R3" s="39" t="s">
        <v>68</v>
      </c>
      <c r="S3" s="39">
        <v>155.5</v>
      </c>
      <c r="T3" s="39">
        <v>8.1</v>
      </c>
      <c r="U3" s="44">
        <f>S3/T3</f>
        <v>19.197530864197532</v>
      </c>
      <c r="V3" s="45">
        <v>19.2</v>
      </c>
      <c r="W3" s="12"/>
      <c r="X3" s="39" t="s">
        <v>69</v>
      </c>
      <c r="Y3" s="46">
        <v>57</v>
      </c>
      <c r="Z3" s="46">
        <v>56</v>
      </c>
      <c r="AA3" s="46">
        <v>28</v>
      </c>
      <c r="AB3" s="47">
        <v>5</v>
      </c>
      <c r="AC3" s="39">
        <v>1</v>
      </c>
      <c r="AD3" s="48">
        <f t="shared" si="0"/>
        <v>8.9375999999999997E-2</v>
      </c>
      <c r="AE3" s="49">
        <f t="shared" si="1"/>
        <v>727.26459004654498</v>
      </c>
      <c r="AF3" s="39">
        <v>3300</v>
      </c>
      <c r="AG3" s="50">
        <f t="shared" si="2"/>
        <v>4.5375507692307693</v>
      </c>
      <c r="AH3" s="39" t="s">
        <v>70</v>
      </c>
      <c r="AI3" s="51">
        <f t="shared" ref="AI3:AI4" si="10">12.8%+30%</f>
        <v>0.42799999999999999</v>
      </c>
      <c r="AJ3" s="50">
        <f t="shared" si="3"/>
        <v>8.2175999999999991</v>
      </c>
      <c r="AK3" s="50">
        <f t="shared" si="4"/>
        <v>31.955150769230769</v>
      </c>
      <c r="AL3" s="52">
        <v>0.1</v>
      </c>
      <c r="AM3" s="50">
        <f t="shared" si="5"/>
        <v>4.851</v>
      </c>
      <c r="AN3" s="39" t="s">
        <v>71</v>
      </c>
      <c r="AO3" s="52">
        <v>4.2000000000000003E-2</v>
      </c>
      <c r="AP3" s="50">
        <f t="shared" si="6"/>
        <v>2.03742</v>
      </c>
      <c r="AQ3" s="52">
        <v>0.08</v>
      </c>
      <c r="AR3" s="50">
        <f t="shared" si="7"/>
        <v>3.8807999999999998</v>
      </c>
      <c r="AS3" s="12">
        <f t="shared" ref="AS3:AS4" si="11">2.5-BA3*0.05</f>
        <v>7.4500000000000011E-2</v>
      </c>
      <c r="AT3" s="50"/>
      <c r="AU3" s="50"/>
      <c r="AV3" s="53"/>
      <c r="AW3" s="50"/>
      <c r="AX3" s="54"/>
      <c r="AY3" s="50">
        <f t="shared" ref="AY3" si="12">IF(ISERROR(AK3+AM3+AR3+AS3),"",(AK3+AM3+AR3+AS3))</f>
        <v>40.76145076923077</v>
      </c>
      <c r="AZ3" s="53">
        <f t="shared" si="8"/>
        <v>0.15973096744525311</v>
      </c>
      <c r="BA3" s="12">
        <v>48.51</v>
      </c>
      <c r="BB3" s="12"/>
      <c r="BC3" s="55">
        <v>199.99</v>
      </c>
      <c r="BD3" s="54">
        <f t="shared" ref="BD3:BD4" si="13">IF(ISERROR((BC3-BA3)/BC3),"",(BC3-BA3)/BC3)</f>
        <v>0.75743787189359468</v>
      </c>
      <c r="BE3" s="11"/>
      <c r="BF3" s="50">
        <f t="shared" si="9"/>
        <v>0</v>
      </c>
      <c r="BH3" s="2"/>
      <c r="BI3" s="2"/>
    </row>
    <row r="4" spans="1:61" ht="108.75" customHeight="1" x14ac:dyDescent="0.25">
      <c r="A4" s="38">
        <v>3</v>
      </c>
      <c r="B4" s="39"/>
      <c r="C4" s="39"/>
      <c r="D4" s="40" t="s">
        <v>58</v>
      </c>
      <c r="E4" s="40"/>
      <c r="F4" s="40" t="s">
        <v>59</v>
      </c>
      <c r="G4" s="41" t="s">
        <v>60</v>
      </c>
      <c r="H4" s="41" t="s">
        <v>61</v>
      </c>
      <c r="I4" s="41" t="s">
        <v>62</v>
      </c>
      <c r="J4" s="41" t="s">
        <v>72</v>
      </c>
      <c r="K4" s="42" t="s">
        <v>64</v>
      </c>
      <c r="L4" s="41" t="s">
        <v>75</v>
      </c>
      <c r="M4" s="41" t="s">
        <v>66</v>
      </c>
      <c r="N4" s="39"/>
      <c r="O4" s="39"/>
      <c r="P4" s="43" t="s">
        <v>76</v>
      </c>
      <c r="Q4" s="39"/>
      <c r="R4" s="39" t="s">
        <v>68</v>
      </c>
      <c r="S4" s="39">
        <v>155.5</v>
      </c>
      <c r="T4" s="39">
        <v>8.1</v>
      </c>
      <c r="U4" s="44">
        <f t="shared" ref="U4" si="14">S4/T4</f>
        <v>19.197530864197532</v>
      </c>
      <c r="V4" s="45">
        <v>19.2</v>
      </c>
      <c r="W4" s="12"/>
      <c r="X4" s="39" t="s">
        <v>69</v>
      </c>
      <c r="Y4" s="46">
        <v>57</v>
      </c>
      <c r="Z4" s="46">
        <v>56</v>
      </c>
      <c r="AA4" s="46">
        <v>28</v>
      </c>
      <c r="AB4" s="47">
        <v>5</v>
      </c>
      <c r="AC4" s="39">
        <v>1</v>
      </c>
      <c r="AD4" s="48">
        <f t="shared" si="0"/>
        <v>8.9375999999999997E-2</v>
      </c>
      <c r="AE4" s="49">
        <f t="shared" si="1"/>
        <v>727.26459004654498</v>
      </c>
      <c r="AF4" s="39">
        <v>3300</v>
      </c>
      <c r="AG4" s="50">
        <f t="shared" si="2"/>
        <v>4.5375507692307693</v>
      </c>
      <c r="AH4" s="39" t="s">
        <v>70</v>
      </c>
      <c r="AI4" s="51">
        <f t="shared" si="10"/>
        <v>0.42799999999999999</v>
      </c>
      <c r="AJ4" s="50">
        <f t="shared" si="3"/>
        <v>8.2175999999999991</v>
      </c>
      <c r="AK4" s="50">
        <f t="shared" si="4"/>
        <v>31.955150769230769</v>
      </c>
      <c r="AL4" s="52">
        <v>0.1</v>
      </c>
      <c r="AM4" s="50">
        <f t="shared" si="5"/>
        <v>4.851</v>
      </c>
      <c r="AN4" s="39" t="s">
        <v>71</v>
      </c>
      <c r="AO4" s="52">
        <v>4.2000000000000003E-2</v>
      </c>
      <c r="AP4" s="50">
        <f t="shared" si="6"/>
        <v>2.03742</v>
      </c>
      <c r="AQ4" s="52">
        <v>0.08</v>
      </c>
      <c r="AR4" s="50">
        <f t="shared" si="7"/>
        <v>3.8807999999999998</v>
      </c>
      <c r="AS4" s="12">
        <f t="shared" si="11"/>
        <v>7.4500000000000011E-2</v>
      </c>
      <c r="AT4" s="50"/>
      <c r="AU4" s="50"/>
      <c r="AV4" s="53"/>
      <c r="AW4" s="50"/>
      <c r="AX4" s="54"/>
      <c r="AY4" s="50">
        <f>IF(ISERROR(AK4+AM4+AR4+AS4),"",(AK4+AM4+AR4+AS4))</f>
        <v>40.76145076923077</v>
      </c>
      <c r="AZ4" s="53">
        <f t="shared" si="8"/>
        <v>0.15973096744525311</v>
      </c>
      <c r="BA4" s="12">
        <v>48.51</v>
      </c>
      <c r="BB4" s="12"/>
      <c r="BC4" s="55">
        <v>199.99</v>
      </c>
      <c r="BD4" s="54">
        <f t="shared" si="13"/>
        <v>0.75743787189359468</v>
      </c>
      <c r="BE4" s="11"/>
      <c r="BF4" s="50">
        <f t="shared" si="9"/>
        <v>0</v>
      </c>
      <c r="BH4" s="2"/>
      <c r="BI4" s="2"/>
    </row>
  </sheetData>
  <sheetProtection insertRows="0" deleteRows="0" sort="0"/>
  <protectedRanges>
    <protectedRange sqref="A5:J243 AS1 AW1:AZ1 A2:G4 Q2:AR4 BC2:BE243 J2:J4 L2:N243 AT2:AZ4 P5:BA243" name="Range1"/>
    <protectedRange sqref="K2:K247" name="Range1_1"/>
    <protectedRange sqref="O2:O242" name="Range1_2"/>
    <protectedRange sqref="BB2:BB242" name="Range1_3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F2:F4</xm:sqref>
        </x14:dataValidation>
        <x14:dataValidation type="list" allowBlank="1" showInputMessage="1" showErrorMessage="1">
          <x14:formula1>
            <xm:f>[1]ValueSelect!#REF!</xm:f>
          </x14:formula1>
          <xm:sqref>E2:E4</xm:sqref>
        </x14:dataValidation>
        <x14:dataValidation type="list" allowBlank="1" showInputMessage="1" showErrorMessage="1">
          <x14:formula1>
            <xm:f>[1]Data!#REF!</xm:f>
          </x14:formula1>
          <xm:sqref>R2:R4</xm:sqref>
        </x14:dataValidation>
        <x14:dataValidation type="list" allowBlank="1" showInputMessage="1" showErrorMessage="1">
          <x14:formula1>
            <xm:f>[1]Data!#REF!</xm:f>
          </x14:formula1>
          <xm:sqref>X2:X4</xm:sqref>
        </x14:dataValidation>
        <x14:dataValidation type="list" allowBlank="1" showInputMessage="1" showErrorMessage="1">
          <x14:formula1>
            <xm:f>[1]ValueSelect!#REF!</xm:f>
          </x14:formula1>
          <xm:sqref>D2:D4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2025-09-23T01:10:16Z</dcterms:created>
  <dcterms:modified xsi:type="dcterms:W3CDTF">2025-09-23T01:11:00Z</dcterms:modified>
</cp:coreProperties>
</file>