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924A9C54-C05D-42B3-AC03-1436FAC0C343}" xr6:coauthVersionLast="47" xr6:coauthVersionMax="47" xr10:uidLastSave="{00000000-0000-0000-0000-000000000000}"/>
  <bookViews>
    <workbookView xWindow="-110" yWindow="-110" windowWidth="19420" windowHeight="10300" xr2:uid="{B746FDBA-77E0-4831-B9E7-697A6E0EE676}"/>
  </bookViews>
  <sheets>
    <sheet name="Item" sheetId="1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" i="1" l="1"/>
  <c r="BK2" i="1" s="1"/>
  <c r="BD2" i="1"/>
  <c r="BB2" i="1"/>
  <c r="AS2" i="1" s="1"/>
  <c r="AC2" i="1"/>
  <c r="AI2" i="1" s="1"/>
  <c r="AK2" i="1" s="1"/>
  <c r="W2" i="1"/>
  <c r="AX2" i="1" l="1"/>
  <c r="AU2" i="1"/>
  <c r="AN2" i="1"/>
  <c r="AO2" i="1" s="1"/>
  <c r="BJ2" i="1"/>
  <c r="BN2" i="1" s="1"/>
  <c r="AQ2" i="1"/>
  <c r="AY2" i="1" s="1"/>
  <c r="AZ2" i="1" l="1"/>
  <c r="BA2" i="1" s="1"/>
  <c r="BF2" i="1"/>
  <c r="BG2" i="1" s="1"/>
  <c r="BM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BF266407-1E10-4581-8AB2-8A425DBAA0F4}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 xr:uid="{EE8CF66C-92BD-4190-B771-2206097FFA9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 xr:uid="{B74101C5-4499-4813-8D61-5B4E478A4B2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 xr:uid="{E924AC7C-D108-48DE-80C9-F3B5C9E821D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 xr:uid="{0AACF43F-AB58-472C-8F62-B782855F42E6}">
      <text>
        <r>
          <rPr>
            <sz val="11"/>
            <rFont val="Calibri"/>
            <family val="2"/>
          </rPr>
          <t>[FOB Cost $ (Formula)]*[Duty Rate]</t>
        </r>
      </text>
    </comment>
    <comment ref="AO1" authorId="0" shapeId="0" xr:uid="{0A96D8C7-5C3B-4A57-887A-89C17EDE97FA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Q1" authorId="0" shapeId="0" xr:uid="{0BA5104B-C2A2-4A14-BD96-68B9673FC8DF}">
      <text>
        <r>
          <rPr>
            <sz val="11"/>
            <rFont val="Calibri"/>
            <family val="2"/>
          </rPr>
          <t>[JLA POE Price]*[DA %]</t>
        </r>
      </text>
    </comment>
    <comment ref="AS1" authorId="0" shapeId="0" xr:uid="{F8B04957-A5CB-4093-8294-7885B331D5D4}">
      <text>
        <r>
          <rPr>
            <sz val="11"/>
            <rFont val="Calibri"/>
            <family val="2"/>
          </rPr>
          <t>[JLA POE Price]*[Warehouse Charge %]</t>
        </r>
      </text>
    </comment>
    <comment ref="AU1" authorId="0" shapeId="0" xr:uid="{A7754978-5C62-4364-9641-D544809D132B}">
      <text>
        <r>
          <rPr>
            <sz val="11"/>
            <rFont val="Calibri"/>
            <family val="2"/>
          </rPr>
          <t>[JLA POE Price]*[Royalty %]</t>
        </r>
      </text>
    </comment>
    <comment ref="AX1" authorId="0" shapeId="0" xr:uid="{5F927DF0-ED84-43D2-9F19-7A7021C4CD40}">
      <text>
        <r>
          <rPr>
            <sz val="11"/>
            <rFont val="Calibri"/>
            <family val="2"/>
          </rPr>
          <t>[JLA POE Price]*[Load 3 %]</t>
        </r>
      </text>
    </comment>
    <comment ref="AY1" authorId="0" shapeId="0" xr:uid="{41FFDE40-3EE9-44E3-B728-7FCA77DFDF81}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AZ1" authorId="0" shapeId="0" xr:uid="{EFCADF12-970A-49D0-A01B-B1A3CB3DD051}">
      <text>
        <r>
          <rPr>
            <sz val="11"/>
            <rFont val="Calibri"/>
            <family val="2"/>
          </rPr>
          <t>[LDP Cost $]+[Total Load $]</t>
        </r>
      </text>
    </comment>
    <comment ref="BA1" authorId="0" shapeId="0" xr:uid="{315D8DBD-8D8B-4969-95B5-DAC62B50BBD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B1" authorId="0" shapeId="0" xr:uid="{D99970A5-67EB-474E-9E07-F29D7E1D0FB7}">
      <text>
        <r>
          <rPr>
            <sz val="11"/>
            <rFont val="Calibri"/>
            <family val="2"/>
          </rPr>
          <t>[Average Retail Price]*(1-60%)</t>
        </r>
      </text>
    </comment>
    <comment ref="BD1" authorId="0" shapeId="0" xr:uid="{DA97E225-7EC2-4ADD-B166-730E41C641BD}">
      <text>
        <r>
          <rPr>
            <sz val="11"/>
            <rFont val="Calibri"/>
            <family val="2"/>
          </rPr>
          <t>[Average Retail Price]*[Retail Marketing %]</t>
        </r>
      </text>
    </comment>
    <comment ref="BF1" authorId="0" shapeId="0" xr:uid="{C0123A02-392C-4919-9252-88266FDABD82}">
      <text>
        <r>
          <rPr>
            <sz val="11"/>
            <rFont val="Calibri"/>
            <family val="2"/>
          </rPr>
          <t>[Average Retail Price]*(1-60%)</t>
        </r>
      </text>
    </comment>
    <comment ref="BG1" authorId="0" shapeId="0" xr:uid="{6D936363-1101-4927-A0D8-CA2CB53EA20E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J1" authorId="0" shapeId="0" xr:uid="{53CEA692-96FF-4051-8E18-DEF0A7206FCC}">
      <text>
        <r>
          <rPr>
            <sz val="11"/>
            <rFont val="Calibri"/>
            <family val="2"/>
          </rPr>
          <t>=[Standard Price]</t>
        </r>
      </text>
    </comment>
    <comment ref="BK1" authorId="0" shapeId="0" xr:uid="{3FFA1FDA-3EE1-425A-86FF-6D1D9A946516}">
      <text>
        <r>
          <rPr>
            <sz val="11"/>
            <rFont val="Calibri"/>
            <family val="2"/>
          </rPr>
          <t>[JLA POE Price]*[Total Quantity]</t>
        </r>
      </text>
    </comment>
    <comment ref="BL1" authorId="0" shapeId="0" xr:uid="{A5CC33C1-D5D6-465C-9D71-636AE5A8406F}">
      <text>
        <r>
          <rPr>
            <sz val="11"/>
            <rFont val="Calibri"/>
            <family val="2"/>
          </rPr>
          <t>=[Average Retail Price]</t>
        </r>
      </text>
    </comment>
    <comment ref="BM1" authorId="0" shapeId="0" xr:uid="{FB163C8D-A803-4C8D-823E-8B7F3B25217B}">
      <text>
        <r>
          <rPr>
            <sz val="11"/>
            <rFont val="Calibri"/>
            <family val="2"/>
          </rPr>
          <t>([Customer Cost]-[LDP Cost])/[Customer Cost]</t>
        </r>
      </text>
    </comment>
    <comment ref="BN1" authorId="0" shapeId="0" xr:uid="{D485B125-C4C3-42D8-BCE4-AFAFDDC1DC20}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<sst xmlns="http://schemas.openxmlformats.org/spreadsheetml/2006/main" count="79" uniqueCount="79">
  <si>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</si>
  <si>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</si>
  <si>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</si>
  <si>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</si>
  <si>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</si>
  <si>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</si>
  <si>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</si>
  <si>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</si>
  <si>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</si>
  <si>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</si>
  <si>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</si>
  <si>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</si>
  <si>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</si>
  <si>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</si>
  <si>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</si>
  <si>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</si>
  <si>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</si>
  <si>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</si>
  <si>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</si>
  <si>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</si>
  <si>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</si>
  <si>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</si>
  <si>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</si>
  <si>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</si>
  <si>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</si>
  <si>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</si>
  <si>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</si>
  <si>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</si>
  <si>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</si>
  <si>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Product Size L (in)</t>
  </si>
  <si>
    <t>Product Size W (in)</t>
  </si>
  <si>
    <t>Product Size H (in)</t>
  </si>
  <si>
    <t>Product Net Weight (lb)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</si>
  <si>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</si>
  <si>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</si>
  <si>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</si>
  <si>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</si>
  <si>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</si>
  <si>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</si>
  <si>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</si>
  <si>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</si>
  <si>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</si>
  <si>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</si>
  <si>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</si>
  <si>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</si>
  <si>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Marketing %</t>
  </si>
  <si>
    <t>Marketing $</t>
  </si>
  <si>
    <t>Other Load</t>
  </si>
  <si>
    <t>Other Load %</t>
  </si>
  <si>
    <t>Other Load $</t>
  </si>
  <si>
    <t>Total Load $</t>
  </si>
  <si>
    <t>LDP Cost with Load $</t>
  </si>
  <si>
    <t>JLA Domestic MU%</t>
  </si>
  <si>
    <t>Standard Price</t>
  </si>
  <si>
    <t>Retail Marketing %</t>
  </si>
  <si>
    <t>Retail Marketing $</t>
  </si>
  <si>
    <t>Shipping Fee</t>
  </si>
  <si>
    <t>Total Cost w/ Retail Expenses</t>
  </si>
  <si>
    <t>Retail Markup %</t>
  </si>
  <si>
    <t>Average Retail Price</t>
  </si>
  <si>
    <t>Customer Cost</t>
  </si>
  <si>
    <t>Suggested Retail Price</t>
  </si>
  <si>
    <t>MAP $</t>
  </si>
  <si>
    <t>Load % + Margin %</t>
  </si>
  <si>
    <t>Retailer Markup %</t>
  </si>
  <si>
    <t>Harbor House</t>
  </si>
  <si>
    <t>DUVET&amp;DUVET SET</t>
  </si>
  <si>
    <t>Botanical</t>
  </si>
  <si>
    <t>Leaves Duvet Mini Set</t>
  </si>
  <si>
    <t>Duvet Mini Set</t>
  </si>
  <si>
    <t>Duvet:  T300 cotton sateen face and back(imported cotton)+  reactive print, 60*40/173*120,100%cotton. Knife edge on three sides,2" self hem on the bottom with HH buttons, 9 HH shell buttons for Q and K HH shell buttons for K. 2*10" HH logo tie on the corners. HH label+care label+U cardboard+thanks card+HH hangtag.Packing: folded with 1" chervon ribbon+degradable bag, put into a pizza box with 2pcs desiccant+product sticker+PE bag. case pack 4.                                                              sham: T300 cotton sateen face and back(imported cotton)+  reactive print(positioning and cutting), 60*40/173*120,100%cotton. 2" cut die, 6" open back and 5" overlap on the back.</t>
  </si>
  <si>
    <t>Cotton Sateen</t>
  </si>
  <si>
    <t>Full/Queen:90x94“  /20*26+2"--1pair</t>
  </si>
  <si>
    <t>Terracotta/Linen</t>
  </si>
  <si>
    <t>HHD12-1951</t>
  </si>
  <si>
    <t>022164582512</t>
  </si>
  <si>
    <t>Piece</t>
  </si>
  <si>
    <t>Normal</t>
  </si>
  <si>
    <t>6302.31.9050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</si>
</sst>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0.000"/>
    <numFmt numFmtId="167" formatCode="&quot;$&quot;#,##0.0000"/>
    <numFmt numFmtId="168" formatCode="[$$-409]#,##0.00;\-[$$-409]#,##0.00"/>
    <numFmt numFmtId="169" formatCode="[$€-2]\ #,##0.00_);[Red]\([$€-2]\ #,##0.00\)"/>
    <numFmt numFmtId="170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2" applyAlignment="1">
      <alignment wrapText="1"/>
    </xf>
    <xf numFmtId="164" fontId="1" fillId="0" borderId="0" xfId="2" applyNumberFormat="1"/>
    <xf numFmtId="1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164" fontId="1" fillId="0" borderId="0" xfId="2" applyNumberFormat="1" applyAlignment="1">
      <alignment wrapText="1"/>
    </xf>
    <xf numFmtId="167" fontId="1" fillId="0" borderId="0" xfId="2" applyNumberFormat="1" applyAlignment="1">
      <alignment wrapText="1"/>
    </xf>
    <xf numFmtId="0" fontId="1" fillId="0" borderId="0" xfId="2" applyAlignment="1">
      <alignment horizontal="center" wrapText="1"/>
    </xf>
    <xf numFmtId="0" fontId="3" fillId="0" borderId="1" xfId="2" applyFont="1" applyBorder="1" applyAlignment="1">
      <alignment horizontal="center" wrapText="1"/>
    </xf>
    <xf numFmtId="0" fontId="3" fillId="5" borderId="1" xfId="2" applyFont="1" applyFill="1" applyBorder="1" applyAlignment="1">
      <alignment horizontal="center" wrapText="1"/>
    </xf>
    <xf numFmtId="0" fontId="4" fillId="5" borderId="1" xfId="2" applyFont="1" applyFill="1" applyBorder="1" applyAlignment="1">
      <alignment horizontal="center" wrapText="1"/>
    </xf>
    <xf numFmtId="0" fontId="4" fillId="6" borderId="1" xfId="2" applyFont="1" applyFill="1" applyBorder="1" applyAlignment="1">
      <alignment horizontal="center" wrapText="1"/>
    </xf>
    <xf numFmtId="0" fontId="3" fillId="6" borderId="1" xfId="2" applyFont="1" applyFill="1" applyBorder="1" applyAlignment="1">
      <alignment horizontal="center" wrapText="1"/>
    </xf>
    <xf numFmtId="1" fontId="3" fillId="0" borderId="1" xfId="2" applyNumberFormat="1" applyFont="1" applyBorder="1" applyAlignment="1">
      <alignment horizontal="center" wrapText="1"/>
    </xf>
    <xf numFmtId="164" fontId="3" fillId="2" borderId="1" xfId="2" applyNumberFormat="1" applyFont="1" applyFill="1" applyBorder="1" applyAlignment="1">
      <alignment wrapText="1"/>
    </xf>
    <xf numFmtId="4" fontId="3" fillId="2" borderId="1" xfId="2" applyNumberFormat="1" applyFont="1" applyFill="1" applyBorder="1" applyAlignment="1">
      <alignment wrapText="1"/>
    </xf>
    <xf numFmtId="2" fontId="3" fillId="2" borderId="1" xfId="2" applyNumberFormat="1" applyFont="1" applyFill="1" applyBorder="1" applyAlignment="1">
      <alignment wrapText="1"/>
    </xf>
    <xf numFmtId="164" fontId="5" fillId="7" borderId="1" xfId="4" applyNumberFormat="1" applyFont="1" applyFill="1" applyBorder="1" applyAlignment="1">
      <alignment wrapText="1"/>
    </xf>
    <xf numFmtId="0" fontId="4" fillId="0" borderId="1" xfId="2" applyFont="1" applyBorder="1" applyAlignment="1">
      <alignment horizontal="center" wrapText="1"/>
    </xf>
    <xf numFmtId="165" fontId="3" fillId="0" borderId="1" xfId="2" applyNumberFormat="1" applyFont="1" applyBorder="1" applyAlignment="1">
      <alignment horizontal="center" wrapText="1"/>
    </xf>
    <xf numFmtId="166" fontId="5" fillId="0" borderId="1" xfId="4" applyNumberFormat="1" applyFont="1" applyBorder="1" applyAlignment="1">
      <alignment wrapText="1"/>
    </xf>
    <xf numFmtId="2" fontId="3" fillId="0" borderId="1" xfId="2" applyNumberFormat="1" applyFont="1" applyBorder="1" applyAlignment="1">
      <alignment horizontal="center" wrapText="1"/>
    </xf>
    <xf numFmtId="2" fontId="6" fillId="0" borderId="1" xfId="4" applyNumberFormat="1" applyFont="1" applyBorder="1" applyAlignment="1">
      <alignment wrapText="1"/>
    </xf>
    <xf numFmtId="1" fontId="5" fillId="0" borderId="1" xfId="4" applyNumberFormat="1" applyFont="1" applyBorder="1" applyAlignment="1">
      <alignment wrapText="1"/>
    </xf>
    <xf numFmtId="164" fontId="5" fillId="0" borderId="1" xfId="4" applyNumberFormat="1" applyFont="1" applyBorder="1" applyAlignment="1">
      <alignment wrapText="1"/>
    </xf>
    <xf numFmtId="10" fontId="3" fillId="0" borderId="1" xfId="2" applyNumberFormat="1" applyFont="1" applyBorder="1" applyAlignment="1">
      <alignment horizontal="center" wrapText="1"/>
    </xf>
    <xf numFmtId="164" fontId="5" fillId="6" borderId="1" xfId="4" applyNumberFormat="1" applyFont="1" applyFill="1" applyBorder="1" applyAlignment="1">
      <alignment wrapText="1"/>
    </xf>
    <xf numFmtId="164" fontId="6" fillId="0" borderId="1" xfId="4" applyNumberFormat="1" applyFont="1" applyBorder="1" applyAlignment="1">
      <alignment wrapText="1"/>
    </xf>
    <xf numFmtId="164" fontId="5" fillId="3" borderId="1" xfId="4" applyNumberFormat="1" applyFont="1" applyFill="1" applyBorder="1" applyAlignment="1">
      <alignment wrapText="1"/>
    </xf>
    <xf numFmtId="10" fontId="5" fillId="3" borderId="1" xfId="4" applyNumberFormat="1" applyFont="1" applyFill="1" applyBorder="1" applyAlignment="1">
      <alignment wrapText="1"/>
    </xf>
    <xf numFmtId="10" fontId="6" fillId="3" borderId="2" xfId="4" applyNumberFormat="1" applyFont="1" applyFill="1" applyBorder="1" applyAlignment="1">
      <alignment wrapText="1"/>
    </xf>
    <xf numFmtId="164" fontId="6" fillId="0" borderId="2" xfId="4" applyNumberFormat="1" applyFont="1" applyBorder="1" applyAlignment="1">
      <alignment wrapText="1"/>
    </xf>
    <xf numFmtId="164" fontId="6" fillId="3" borderId="1" xfId="4" applyNumberFormat="1" applyFont="1" applyFill="1" applyBorder="1" applyAlignment="1">
      <alignment wrapText="1"/>
    </xf>
    <xf numFmtId="164" fontId="6" fillId="0" borderId="0" xfId="4" applyNumberFormat="1" applyFont="1" applyAlignment="1">
      <alignment wrapText="1"/>
    </xf>
    <xf numFmtId="167" fontId="7" fillId="4" borderId="1" xfId="4" applyNumberFormat="1" applyFont="1" applyFill="1" applyBorder="1" applyAlignment="1">
      <alignment wrapText="1"/>
    </xf>
    <xf numFmtId="164" fontId="7" fillId="4" borderId="1" xfId="4" applyNumberFormat="1" applyFont="1" applyFill="1" applyBorder="1" applyAlignment="1">
      <alignment wrapText="1"/>
    </xf>
    <xf numFmtId="10" fontId="7" fillId="4" borderId="1" xfId="4" applyNumberFormat="1" applyFont="1" applyFill="1" applyBorder="1" applyAlignment="1">
      <alignment wrapText="1"/>
    </xf>
    <xf numFmtId="0" fontId="1" fillId="0" borderId="1" xfId="2" applyBorder="1" applyAlignment="1">
      <alignment horizontal="center"/>
    </xf>
    <xf numFmtId="0" fontId="1" fillId="0" borderId="1" xfId="2" applyBorder="1"/>
    <xf numFmtId="168" fontId="1" fillId="0" borderId="1" xfId="2" applyNumberFormat="1" applyBorder="1"/>
    <xf numFmtId="169" fontId="1" fillId="0" borderId="1" xfId="2" applyNumberFormat="1" applyBorder="1"/>
    <xf numFmtId="1" fontId="1" fillId="0" borderId="1" xfId="2" applyNumberFormat="1" applyBorder="1"/>
    <xf numFmtId="164" fontId="1" fillId="0" borderId="2" xfId="2" applyNumberFormat="1" applyBorder="1" applyAlignment="1">
      <alignment horizontal="center" wrapText="1"/>
    </xf>
    <xf numFmtId="4" fontId="1" fillId="0" borderId="2" xfId="2" applyNumberFormat="1" applyBorder="1"/>
    <xf numFmtId="2" fontId="1" fillId="0" borderId="2" xfId="2" applyNumberFormat="1" applyBorder="1"/>
    <xf numFmtId="164" fontId="1" fillId="4" borderId="1" xfId="2" applyNumberFormat="1" applyFill="1" applyBorder="1"/>
    <xf numFmtId="165" fontId="1" fillId="0" borderId="1" xfId="2" applyNumberFormat="1" applyBorder="1"/>
    <xf numFmtId="166" fontId="1" fillId="4" borderId="1" xfId="2" applyNumberFormat="1" applyFill="1" applyBorder="1"/>
    <xf numFmtId="2" fontId="1" fillId="0" borderId="1" xfId="2" applyNumberFormat="1" applyBorder="1"/>
    <xf numFmtId="1" fontId="1" fillId="4" borderId="1" xfId="2" applyNumberFormat="1" applyFill="1" applyBorder="1"/>
    <xf numFmtId="3" fontId="1" fillId="0" borderId="1" xfId="2" applyNumberFormat="1" applyBorder="1"/>
    <xf numFmtId="170" fontId="1" fillId="0" borderId="1" xfId="2" applyNumberFormat="1" applyBorder="1"/>
    <xf numFmtId="10" fontId="1" fillId="0" borderId="1" xfId="2" applyNumberFormat="1" applyBorder="1"/>
    <xf numFmtId="164" fontId="1" fillId="0" borderId="1" xfId="2" applyNumberFormat="1" applyBorder="1"/>
    <xf numFmtId="10" fontId="0" fillId="4" borderId="1" xfId="5" applyNumberFormat="1" applyFont="1" applyFill="1" applyBorder="1" applyAlignment="1"/>
    <xf numFmtId="10" fontId="1" fillId="4" borderId="1" xfId="2" applyNumberFormat="1" applyFill="1" applyBorder="1"/>
    <xf numFmtId="164" fontId="8" fillId="4" borderId="3" xfId="1" applyNumberFormat="1" applyFont="1" applyFill="1" applyBorder="1" applyAlignment="1">
      <alignment horizontal="center" vertical="center"/>
    </xf>
    <xf numFmtId="0" fontId="1" fillId="0" borderId="0" xfId="2"/>
    <xf numFmtId="165" fontId="1" fillId="0" borderId="0" xfId="2" applyNumberFormat="1" applyAlignment="1">
      <alignment wrapText="1"/>
    </xf>
    <xf numFmtId="4" fontId="1" fillId="0" borderId="0" xfId="2" applyNumberFormat="1" applyAlignment="1">
      <alignment wrapText="1"/>
    </xf>
    <xf numFmtId="2" fontId="1" fillId="0" borderId="0" xfId="2" applyNumberFormat="1" applyAlignment="1">
      <alignment wrapText="1"/>
    </xf>
    <xf numFmtId="166" fontId="1" fillId="0" borderId="0" xfId="2" applyNumberFormat="1" applyAlignment="1">
      <alignment wrapText="1"/>
    </xf>
  </cellXfs>
  <cellStyles count="6">
    <cellStyle name="Currency" xfId="1" builtinId="4"/>
    <cellStyle name="Normal" xfId="0" builtinId="0"/>
    <cellStyle name="Normal 2" xfId="2" xr:uid="{C0CE28A4-1C31-4C09-AD2F-306B89C2DB1F}"/>
    <cellStyle name="Normal 2 18 2" xfId="4" xr:uid="{688629E8-CD5E-4F55-889A-F3AD179EA77E}"/>
    <cellStyle name="Percent 2" xfId="5" xr:uid="{08A7E593-8ED3-4D7D-91E8-CC71B926ABA5}"/>
    <cellStyle name="样式 1 2" xfId="3" xr:uid="{E27AFA9B-34E9-444C-9D0F-52932893B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esktop\Project\13.%20UCT%20&#24037;&#20316;&#20248;&#21270;%20-%20Anna%20Ying\&#26679;&#34920;\Commitment\MIS%20HHL\2025%20HHL%20Domestic.xlsx" TargetMode="External"/><Relationship Id="rId1" Type="http://schemas.openxmlformats.org/officeDocument/2006/relationships/externalLinkPath" Target="/Users/heather.zhu/Desktop/Project/13.%20UCT%20&#24037;&#20316;&#20248;&#21270;%20-%20Anna%20Ying/&#26679;&#34920;/Commitment/MIS%20HHL/2025%20HHL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69F1-26E3-4DBA-B2BC-0B98CC936D11}">
  <dimension ref="A1:BN2"/>
  <sheetViews>
    <sheetView tabSelected="1" zoomScaleNormal="100" workbookViewId="0">
      <selection activeCell="E8" sqref="E8"/>
    </sheetView>
  </sheetViews>
  <sheetFormatPr defaultColWidth="9.1796875" defaultRowHeight="14.5" x14ac:dyDescent="0.35"/>
  <cols>
    <col min="1" max="1" width="10.1796875" style="7" customWidth="1"/>
    <col min="2" max="2" width="10" style="1" customWidth="1"/>
    <col min="3" max="3" width="12.453125" style="1" customWidth="1"/>
    <col min="4" max="4" width="12.81640625" style="1" customWidth="1"/>
    <col min="5" max="5" width="9.08984375" style="1" customWidth="1"/>
    <col min="6" max="6" width="15.54296875" style="1" customWidth="1"/>
    <col min="7" max="7" width="9.1796875" style="1" customWidth="1"/>
    <col min="8" max="8" width="19.453125" style="1" customWidth="1"/>
    <col min="9" max="9" width="21" style="1" customWidth="1"/>
    <col min="10" max="10" width="11.1796875" style="1" customWidth="1"/>
    <col min="11" max="11" width="12.36328125" style="1" customWidth="1"/>
    <col min="12" max="12" width="18" style="1" customWidth="1"/>
    <col min="13" max="13" width="6.81640625" style="1" customWidth="1"/>
    <col min="14" max="16" width="8.81640625" style="1" customWidth="1"/>
    <col min="17" max="17" width="8.81640625" style="5" customWidth="1"/>
    <col min="18" max="18" width="9.453125" style="1" customWidth="1"/>
    <col min="19" max="19" width="11.7265625" style="3" customWidth="1"/>
    <col min="20" max="20" width="8.1796875" style="58" customWidth="1"/>
    <col min="21" max="21" width="8.7265625" style="59" customWidth="1"/>
    <col min="22" max="22" width="8.7265625" style="60" customWidth="1"/>
    <col min="23" max="23" width="12.36328125" style="58" customWidth="1"/>
    <col min="24" max="24" width="9.81640625" style="58" customWidth="1"/>
    <col min="25" max="25" width="9" style="58" customWidth="1"/>
    <col min="26" max="26" width="6.26953125" style="3" customWidth="1"/>
    <col min="27" max="27" width="11.453125" style="60" customWidth="1"/>
    <col min="28" max="28" width="9.81640625" style="3" customWidth="1"/>
    <col min="29" max="29" width="7.81640625" style="1" customWidth="1"/>
    <col min="30" max="30" width="9" style="58" customWidth="1"/>
    <col min="31" max="31" width="9" style="3" customWidth="1"/>
    <col min="32" max="32" width="9" style="60" customWidth="1"/>
    <col min="33" max="33" width="10" style="61" customWidth="1"/>
    <col min="34" max="34" width="9" style="5" customWidth="1"/>
    <col min="35" max="35" width="14.1796875" style="1" customWidth="1"/>
    <col min="36" max="36" width="8.453125" style="4" customWidth="1"/>
    <col min="37" max="37" width="10.7265625" style="5" customWidth="1"/>
    <col min="38" max="38" width="11.26953125" style="5" customWidth="1"/>
    <col min="39" max="39" width="11.54296875" style="5" customWidth="1"/>
    <col min="40" max="40" width="8.26953125" style="5" customWidth="1"/>
    <col min="41" max="41" width="11.54296875" style="4" customWidth="1"/>
    <col min="42" max="42" width="10.81640625" style="5" customWidth="1"/>
    <col min="43" max="43" width="8.1796875" style="4" customWidth="1"/>
    <col min="44" max="44" width="9.1796875" style="5" customWidth="1"/>
    <col min="45" max="45" width="8.1796875" style="4" customWidth="1"/>
    <col min="46" max="46" width="9.26953125" style="5" customWidth="1"/>
    <col min="47" max="47" width="6.90625" style="5" customWidth="1"/>
    <col min="48" max="48" width="9.1796875" style="5" customWidth="1"/>
    <col min="49" max="49" width="7.453125" style="5" customWidth="1"/>
    <col min="50" max="50" width="7.7265625" style="5" customWidth="1"/>
    <col min="51" max="51" width="11.36328125" style="5" customWidth="1"/>
    <col min="52" max="52" width="11.90625" style="1" customWidth="1"/>
    <col min="53" max="53" width="11.26953125" style="6" customWidth="1"/>
    <col min="54" max="54" width="9.90625" style="5" customWidth="1"/>
    <col min="55" max="55" width="15" style="4" customWidth="1"/>
    <col min="56" max="56" width="10.1796875" style="5" customWidth="1"/>
    <col min="57" max="57" width="8.90625" style="5" customWidth="1"/>
    <col min="58" max="58" width="10.90625" style="5" customWidth="1"/>
    <col min="59" max="59" width="8.08984375" style="4" customWidth="1"/>
    <col min="60" max="61" width="10.36328125" style="5" customWidth="1"/>
    <col min="62" max="62" width="12.453125" style="1" customWidth="1"/>
    <col min="63" max="63" width="10.36328125" style="1" customWidth="1"/>
    <col min="64" max="64" width="9.6328125" style="1" customWidth="1"/>
    <col min="65" max="65" width="13.36328125" style="1" customWidth="1"/>
    <col min="66" max="66" width="13.36328125" style="4" customWidth="1"/>
    <col min="67" max="16384" width="9.1796875" style="1"/>
  </cols>
  <sheetData>
    <row r="1" spans="1:66" ht="58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19" t="s">
        <v>24</v>
      </c>
      <c r="Z1" s="19" t="s">
        <v>25</v>
      </c>
      <c r="AA1" s="19" t="s">
        <v>26</v>
      </c>
      <c r="AB1" s="13" t="s">
        <v>27</v>
      </c>
      <c r="AC1" s="20" t="s">
        <v>28</v>
      </c>
      <c r="AD1" s="19" t="s">
        <v>29</v>
      </c>
      <c r="AE1" s="19" t="s">
        <v>30</v>
      </c>
      <c r="AF1" s="19" t="s">
        <v>31</v>
      </c>
      <c r="AG1" s="21" t="s">
        <v>32</v>
      </c>
      <c r="AH1" s="22" t="s">
        <v>33</v>
      </c>
      <c r="AI1" s="23" t="s">
        <v>34</v>
      </c>
      <c r="AJ1" s="8" t="s">
        <v>35</v>
      </c>
      <c r="AK1" s="24" t="s">
        <v>36</v>
      </c>
      <c r="AL1" s="8" t="s">
        <v>37</v>
      </c>
      <c r="AM1" s="25" t="s">
        <v>38</v>
      </c>
      <c r="AN1" s="26" t="s">
        <v>39</v>
      </c>
      <c r="AO1" s="24" t="s">
        <v>40</v>
      </c>
      <c r="AP1" s="25" t="s">
        <v>41</v>
      </c>
      <c r="AQ1" s="24" t="s">
        <v>42</v>
      </c>
      <c r="AR1" s="25" t="s">
        <v>43</v>
      </c>
      <c r="AS1" s="24" t="s">
        <v>44</v>
      </c>
      <c r="AT1" s="25" t="s">
        <v>45</v>
      </c>
      <c r="AU1" s="24" t="s">
        <v>46</v>
      </c>
      <c r="AV1" s="27" t="s">
        <v>47</v>
      </c>
      <c r="AW1" s="25" t="s">
        <v>48</v>
      </c>
      <c r="AX1" s="24" t="s">
        <v>49</v>
      </c>
      <c r="AY1" s="24" t="s">
        <v>50</v>
      </c>
      <c r="AZ1" s="28" t="s">
        <v>51</v>
      </c>
      <c r="BA1" s="29" t="s">
        <v>52</v>
      </c>
      <c r="BB1" s="28" t="s">
        <v>53</v>
      </c>
      <c r="BC1" s="30" t="s">
        <v>54</v>
      </c>
      <c r="BD1" s="24" t="s">
        <v>55</v>
      </c>
      <c r="BE1" s="31" t="s">
        <v>56</v>
      </c>
      <c r="BF1" s="28" t="s">
        <v>57</v>
      </c>
      <c r="BG1" s="29" t="s">
        <v>58</v>
      </c>
      <c r="BH1" s="32" t="s">
        <v>59</v>
      </c>
      <c r="BI1" s="33"/>
      <c r="BJ1" s="34" t="s">
        <v>60</v>
      </c>
      <c r="BK1" s="35" t="s">
        <v>61</v>
      </c>
      <c r="BL1" s="34" t="s">
        <v>62</v>
      </c>
      <c r="BM1" s="35" t="s">
        <v>63</v>
      </c>
      <c r="BN1" s="36" t="s">
        <v>64</v>
      </c>
    </row>
    <row r="2" spans="1:66" s="57" customFormat="1" x14ac:dyDescent="0.35">
      <c r="A2" s="37">
        <v>1</v>
      </c>
      <c r="B2" s="38"/>
      <c r="C2" s="38"/>
      <c r="D2" s="38" t="s">
        <v>65</v>
      </c>
      <c r="E2" s="38"/>
      <c r="F2" s="38" t="s">
        <v>66</v>
      </c>
      <c r="G2" s="39" t="s">
        <v>67</v>
      </c>
      <c r="H2" s="38" t="s">
        <v>68</v>
      </c>
      <c r="I2" s="38" t="s">
        <v>69</v>
      </c>
      <c r="J2" s="37" t="s">
        <v>70</v>
      </c>
      <c r="K2" s="38" t="s">
        <v>71</v>
      </c>
      <c r="L2" s="38" t="s">
        <v>72</v>
      </c>
      <c r="M2" s="38" t="s">
        <v>73</v>
      </c>
      <c r="N2" s="38"/>
      <c r="O2" s="40" t="s">
        <v>74</v>
      </c>
      <c r="P2" s="40" t="s">
        <v>75</v>
      </c>
      <c r="Q2" s="38"/>
      <c r="R2" s="38" t="s">
        <v>76</v>
      </c>
      <c r="S2" s="41">
        <v>204</v>
      </c>
      <c r="T2" s="42"/>
      <c r="U2" s="43">
        <v>174.55</v>
      </c>
      <c r="V2" s="44">
        <v>8.3000000000000007</v>
      </c>
      <c r="W2" s="45">
        <f>IF(ISERROR(U2/V2),"",U2/V2)</f>
        <v>21.03</v>
      </c>
      <c r="X2" s="38" t="s">
        <v>77</v>
      </c>
      <c r="Y2" s="46">
        <v>36</v>
      </c>
      <c r="Z2" s="46">
        <v>30</v>
      </c>
      <c r="AA2" s="46">
        <v>39</v>
      </c>
      <c r="AB2" s="41">
        <v>4</v>
      </c>
      <c r="AC2" s="47">
        <f>IF(Y2="","",Y2*Z2*AA2/1000000)</f>
        <v>4.2000000000000003E-2</v>
      </c>
      <c r="AD2" s="46">
        <v>13</v>
      </c>
      <c r="AE2" s="46">
        <v>11</v>
      </c>
      <c r="AF2" s="46">
        <v>3.5</v>
      </c>
      <c r="AG2" s="48">
        <v>5.0999999999999996</v>
      </c>
      <c r="AH2" s="48">
        <v>65</v>
      </c>
      <c r="AI2" s="49">
        <f>IF(AB2="","",AH2/AC2*AB2)</f>
        <v>6190</v>
      </c>
      <c r="AJ2" s="50">
        <v>3500</v>
      </c>
      <c r="AK2" s="45">
        <f>IF(ISERROR(AJ2/AI2),"",AJ2/AI2)</f>
        <v>0.56999999999999995</v>
      </c>
      <c r="AL2" s="38" t="s">
        <v>78</v>
      </c>
      <c r="AM2" s="51">
        <v>0.442</v>
      </c>
      <c r="AN2" s="45">
        <f>IF(ISERROR(W2*AM2),"",W2*AM2)</f>
        <v>9.3000000000000007</v>
      </c>
      <c r="AO2" s="45">
        <f>IF(ISERROR(W2+AK2+AN2),"",W2+AK2+AN2)</f>
        <v>30.9</v>
      </c>
      <c r="AP2" s="52">
        <v>0.1</v>
      </c>
      <c r="AQ2" s="45">
        <f>IF(ISERROR(BB2*AP2),"",BB2*AP2)</f>
        <v>8.76</v>
      </c>
      <c r="AR2" s="52">
        <v>0.15</v>
      </c>
      <c r="AS2" s="45">
        <f>IF(ISERROR(BB2*AR2),"",BB2*AR2)</f>
        <v>13.14</v>
      </c>
      <c r="AT2" s="52">
        <v>0.1</v>
      </c>
      <c r="AU2" s="45">
        <f>IF(ISERROR(BB2*AT2),"",BB2*AT2)</f>
        <v>8.76</v>
      </c>
      <c r="AV2" s="53"/>
      <c r="AW2" s="52">
        <v>0</v>
      </c>
      <c r="AX2" s="45">
        <f>IF(ISERROR(BB2*AW2),"",BB2*AW2)</f>
        <v>0</v>
      </c>
      <c r="AY2" s="45">
        <f>IF(ISERROR(AQ2+AS2+AU2+AX2),"",AQ2+AS2+AU2+AX2)</f>
        <v>30.66</v>
      </c>
      <c r="AZ2" s="45">
        <f>IF(ISERROR(AO2+AY2),"",AO2+AY2)</f>
        <v>61.56</v>
      </c>
      <c r="BA2" s="54">
        <f t="shared" ref="BA2" si="0">IF(ISERROR((BB2-AZ2)/BB2),"",(BB2-AZ2)/BB2)</f>
        <v>0.29730000000000001</v>
      </c>
      <c r="BB2" s="45">
        <f>IF(BH2="","",BH2*(1-60%))</f>
        <v>87.6</v>
      </c>
      <c r="BC2" s="52">
        <v>0.3</v>
      </c>
      <c r="BD2" s="45">
        <f>IF(BC2="","",BH2*BC2)</f>
        <v>65.7</v>
      </c>
      <c r="BE2" s="53">
        <v>15</v>
      </c>
      <c r="BF2" s="45">
        <f>IF(ISERROR(AZ2+BD2+BE2),"",AZ2+BD2+BE2)</f>
        <v>142.26</v>
      </c>
      <c r="BG2" s="55">
        <f>IF(BH2="","",(BH2-BF2)/BH2)</f>
        <v>0.35039999999999999</v>
      </c>
      <c r="BH2" s="53">
        <v>219</v>
      </c>
      <c r="BI2" s="2"/>
      <c r="BJ2" s="45">
        <f>BB2</f>
        <v>87.6</v>
      </c>
      <c r="BK2" s="56">
        <f>IF(BL2="","",CEILING(BL2/0.9 - 0.01, 10) - 0.01)</f>
        <v>249.99</v>
      </c>
      <c r="BL2" s="45">
        <f>IF(BH2="","",BH2)</f>
        <v>219</v>
      </c>
      <c r="BM2" s="55">
        <f>IF(BJ2="","",(BJ2-AO2)/BJ2)</f>
        <v>0.64729999999999999</v>
      </c>
      <c r="BN2" s="55">
        <f>IF(BK2="","",(BK2-BJ2)/BK2)</f>
        <v>0.64959999999999996</v>
      </c>
    </row>
  </sheetData>
  <sheetProtection insertRows="0" deleteRows="0" sort="0"/>
  <protectedRanges>
    <protectedRange sqref="AC2 A2:B2 D2:J2 A4:B86 D4:E86 C2:C85 L2:R2 AH2:AI2 U2:X2 F3:R85 T3:AY85 AN2:BE2 BG2 AK2" name="Range1"/>
    <protectedRange sqref="Y2:AA2 AD2:AG2" name="Range1_2"/>
    <protectedRange sqref="AJ2" name="Range1_3"/>
    <protectedRange sqref="AL2:AM2" name="Range1_4"/>
    <protectedRange sqref="S2" name="Range1_6"/>
    <protectedRange sqref="K2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2025-09-26T23:22:21Z</dcterms:created>
  <dcterms:modified xsi:type="dcterms:W3CDTF">2025-09-26T23:23:56Z</dcterms:modified>
</cp:coreProperties>
</file>