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E6DCFF3E-A72B-4811-AC0E-7DF651D299A8}" xr6:coauthVersionLast="47" xr6:coauthVersionMax="47" xr10:uidLastSave="{00000000-0000-0000-0000-000000000000}"/>
  <bookViews>
    <workbookView xWindow="-110" yWindow="-110" windowWidth="19420" windowHeight="10300" xr2:uid="{31F0E318-5A39-406A-B480-4E6550061952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5" i="1" l="1"/>
  <c r="BD5" i="1"/>
  <c r="AW5" i="1"/>
  <c r="AV5" i="1"/>
  <c r="AS5" i="1"/>
  <c r="AP5" i="1"/>
  <c r="AN5" i="1"/>
  <c r="AL5" i="1"/>
  <c r="AH5" i="1"/>
  <c r="AE5" i="1"/>
  <c r="AC5" i="1"/>
  <c r="AD5" i="1" s="1"/>
  <c r="U5" i="1"/>
  <c r="T5" i="1"/>
  <c r="BG4" i="1"/>
  <c r="BD4" i="1"/>
  <c r="AW4" i="1"/>
  <c r="AV4" i="1"/>
  <c r="AS4" i="1"/>
  <c r="AP4" i="1"/>
  <c r="AN4" i="1"/>
  <c r="AL4" i="1"/>
  <c r="AH4" i="1"/>
  <c r="AE4" i="1"/>
  <c r="AC4" i="1"/>
  <c r="AD4" i="1" s="1"/>
  <c r="U4" i="1"/>
  <c r="T4" i="1"/>
  <c r="BG3" i="1"/>
  <c r="BD3" i="1"/>
  <c r="AW3" i="1"/>
  <c r="AV3" i="1"/>
  <c r="AS3" i="1"/>
  <c r="AP3" i="1"/>
  <c r="AN3" i="1"/>
  <c r="AL3" i="1"/>
  <c r="AH3" i="1"/>
  <c r="AE3" i="1"/>
  <c r="AC3" i="1"/>
  <c r="AD3" i="1" s="1"/>
  <c r="AF3" i="1" s="1"/>
  <c r="U3" i="1"/>
  <c r="T3" i="1"/>
  <c r="BG2" i="1"/>
  <c r="BD2" i="1"/>
  <c r="AW2" i="1"/>
  <c r="AV2" i="1"/>
  <c r="AS2" i="1"/>
  <c r="AP2" i="1"/>
  <c r="AN2" i="1"/>
  <c r="AL2" i="1"/>
  <c r="AH2" i="1"/>
  <c r="AE2" i="1"/>
  <c r="AC2" i="1"/>
  <c r="AD2" i="1" s="1"/>
  <c r="U2" i="1"/>
  <c r="AI2" i="1" s="1"/>
  <c r="T2" i="1"/>
  <c r="AI4" i="1" l="1"/>
  <c r="AF5" i="1"/>
  <c r="AF4" i="1"/>
  <c r="AI3" i="1"/>
  <c r="AJ3" i="1" s="1"/>
  <c r="AF2" i="1"/>
  <c r="AJ2" i="1" s="1"/>
  <c r="AI5" i="1"/>
  <c r="AJ5" i="1" l="1"/>
  <c r="AX5" i="1" s="1"/>
  <c r="AY5" i="1" s="1"/>
  <c r="AZ5" i="1" s="1"/>
  <c r="BA5" i="1" s="1"/>
  <c r="BF5" i="1" s="1"/>
  <c r="AJ4" i="1"/>
  <c r="AX4" i="1" s="1"/>
  <c r="AY4" i="1" s="1"/>
  <c r="AZ4" i="1" s="1"/>
  <c r="BA4" i="1" s="1"/>
  <c r="BF4" i="1" s="1"/>
  <c r="AX3" i="1"/>
  <c r="AY3" i="1" s="1"/>
  <c r="AZ3" i="1" s="1"/>
  <c r="BA3" i="1" s="1"/>
  <c r="BF3" i="1" s="1"/>
  <c r="AX2" i="1"/>
  <c r="AY2" i="1" s="1"/>
  <c r="AZ2" i="1" s="1"/>
  <c r="BA2" i="1" s="1"/>
  <c r="BF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E9D4315C-4F43-489A-8BD1-C6FE1A53E57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78DF5987-F057-4840-85DC-E355024E9FFC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CD80F3F-AAA8-4193-9033-6CEE6D79D6B3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E9707202-2351-41C8-AA96-A7CFB2496F4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BECFC9CF-7915-435E-8C4F-97D6744383B2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39CD7FD0-B7D9-4C4C-AF83-5DA25C2CB74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CCC5440-3D67-4592-9CE5-C962381AB94D}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 xr:uid="{AC3BCD8C-3E5C-4A16-8ABC-6D63C763EB50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 xr:uid="{EE8E756B-4446-462F-94DA-DF7B37C3A56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 xr:uid="{1ABEBD52-DB7F-4997-8E6C-BF8ECD1FE602}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 xr:uid="{3AFE6DBF-FA8D-4208-9001-7CDB7527E811}">
      <text>
        <r>
          <rPr>
            <sz val="11"/>
            <rFont val="Calibri"/>
            <family val="2"/>
          </rPr>
          <t>[JLA FOB CA/GA Price Quote (Value)]*[Load 2 %]</t>
        </r>
      </text>
    </comment>
    <comment ref="AY1" authorId="0" shapeId="0" xr:uid="{E592FED5-F627-48AB-8E8A-52B546C0D7C1}">
      <text>
        <r>
          <rPr>
            <sz val="11"/>
            <rFont val="Calibri"/>
            <family val="2"/>
          </rPr>
          <t>[DA $]+[General Load $]+[Warehouse Charge $]+[Load 1 $]+[Load 2 $]+[Extra Load 1]+[Extra Load 2]</t>
        </r>
      </text>
    </comment>
    <comment ref="AZ1" authorId="0" shapeId="0" xr:uid="{F7421CFB-F96B-4F3B-A935-B2B4CE1AA513}">
      <text>
        <r>
          <rPr>
            <sz val="11"/>
            <rFont val="Calibri"/>
            <family val="2"/>
          </rPr>
          <t>[LDP Cost $]+[Total Load $]</t>
        </r>
      </text>
    </comment>
    <comment ref="BA1" authorId="0" shapeId="0" xr:uid="{658BEC21-5969-4A2E-BF63-B1BFE4CA0271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 xr:uid="{9B25114F-60B0-4A11-A020-6DE8EFC14285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 xr:uid="{754928FA-5709-478C-9C80-87B7AE97BF90}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 xr:uid="{243534DB-72C0-4A1C-ACFE-3A2F9E6AE73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<sst xmlns="http://schemas.openxmlformats.org/spreadsheetml/2006/main" count="120" uniqueCount="77">
  <si>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</si>
  <si>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</si>
  <si>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</si>
  <si>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</si>
  <si>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</si>
  <si>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</si>
  <si>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</si>
  <si>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</si>
  <si>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</si>
  <si>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</si>
  <si>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Trim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</si>
  <si>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</si>
  <si>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</si>
  <si>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</si>
  <si>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</si>
  <si>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</si>
  <si>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</si>
  <si>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</si>
  <si>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</si>
  <si>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</si>
  <si>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</si>
  <si>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</si>
  <si>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</si>
  <si>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</si>
  <si>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</si>
  <si>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</si>
  <si>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</si>
  <si>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</si>
  <si>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</si>
  <si>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</si>
  <si>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</si>
  <si>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</si>
  <si>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</si>
  <si>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</si>
  <si>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</si>
  <si>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</si>
  <si>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</si>
  <si>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</si>
  <si>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</si>
  <si>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</si>
  <si>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</si>
  <si>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</si>
  <si>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</si>
  <si>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</si>
  <si>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</si>
  <si>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</si>
  <si>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</si>
  <si>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</si>
  <si>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Extra Load 1</t>
  </si>
  <si>
    <t>Extra Load 2</t>
  </si>
  <si>
    <t>Total Load $</t>
  </si>
  <si>
    <t>LDP Cost with Load $</t>
  </si>
  <si>
    <t>JLA LDP MU%</t>
  </si>
  <si>
    <t>JLA FOB CA/GA Price Quote (Value)</t>
  </si>
  <si>
    <t>Suggested Retail Price</t>
  </si>
  <si>
    <t>Retail Markup %</t>
  </si>
  <si>
    <t>Total Quantity</t>
  </si>
  <si>
    <t>Total Cost</t>
  </si>
  <si>
    <t>Total Sales</t>
  </si>
  <si>
    <t>Remarks</t>
  </si>
  <si>
    <t>Natori</t>
  </si>
  <si>
    <t>Natori 7%</t>
  </si>
  <si>
    <t>NORMAL PILLOW</t>
  </si>
  <si>
    <t>Harvana Stripe</t>
  </si>
  <si>
    <t>300tc cttn dobby pillow shells</t>
  </si>
  <si>
    <r>
      <t xml:space="preserve">300tc cotton pillow </t>
    </r>
    <r>
      <rPr>
        <sz val="11"/>
        <color rgb="FFEE0000"/>
        <rFont val="Calibri"/>
        <family val="2"/>
      </rPr>
      <t>shells</t>
    </r>
  </si>
  <si>
    <t>300tc cttn dobby stripe, single needle stitch pearl white satin piping; price per 2pk</t>
  </si>
  <si>
    <t>Shells to be filled in USA w/ 24oz/4D fifiber; 2pk per printed polybag</t>
  </si>
  <si>
    <t>20x28"(2)</t>
  </si>
  <si>
    <t>white</t>
  </si>
  <si>
    <t>Pair</t>
  </si>
  <si>
    <t>Normal</t>
  </si>
  <si>
    <t>6307.90.8945</t>
  </si>
  <si>
    <t>Royalty 5%+1%</t>
  </si>
  <si>
    <t xml:space="preserve">Pillow shells to be ordered with KKP FINE LINEN in India. So items are set as piloow shells. 
Pillows are to be filled by American Textiles in Georgia USA.
Finished/packed pillows to be shipped out to the customer from ATC Tifton plant in Georgia USA. </t>
  </si>
  <si>
    <t>Shells to be filled in USA w/ 30oz/4D fifiber; 2pk per printed polybag</t>
  </si>
  <si>
    <t>18.5x26.5x1.5"(2)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</si>
</sst>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  <numFmt numFmtId="167" formatCode="0.000"/>
    <numFmt numFmtId="168" formatCode="0.0%"/>
  </numFmts>
  <fonts count="13">
    <font>
      <sz val="11"/>
      <name val="Calibri"/>
    </font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EE0000"/>
      <name val="Calibri"/>
      <family val="2"/>
    </font>
    <font>
      <sz val="12"/>
      <name val="宋体"/>
      <family val="3"/>
      <charset val="134"/>
    </font>
    <font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44" fontId="2" fillId="0" borderId="0" applyFont="0" applyFill="0" applyBorder="0" applyAlignment="0" applyProtection="0"/>
    <xf numFmtId="0" fontId="11" fillId="0" borderId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0" xfId="0" applyFont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2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165" fontId="8" fillId="2" borderId="1" xfId="3" applyNumberFormat="1" applyFont="1" applyFill="1" applyBorder="1" applyAlignment="1">
      <alignment wrapText="1"/>
    </xf>
    <xf numFmtId="165" fontId="5" fillId="6" borderId="2" xfId="0" applyNumberFormat="1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66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67" fontId="8" fillId="0" borderId="1" xfId="3" applyNumberFormat="1" applyFont="1" applyBorder="1" applyAlignment="1">
      <alignment wrapText="1"/>
    </xf>
    <xf numFmtId="1" fontId="8" fillId="0" borderId="1" xfId="3" applyNumberFormat="1" applyFont="1" applyBorder="1" applyAlignment="1">
      <alignment wrapText="1"/>
    </xf>
    <xf numFmtId="165" fontId="8" fillId="0" borderId="1" xfId="3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65" fontId="8" fillId="5" borderId="1" xfId="3" applyNumberFormat="1" applyFont="1" applyFill="1" applyBorder="1" applyAlignment="1">
      <alignment wrapText="1"/>
    </xf>
    <xf numFmtId="165" fontId="9" fillId="5" borderId="1" xfId="3" applyNumberFormat="1" applyFont="1" applyFill="1" applyBorder="1" applyAlignment="1">
      <alignment wrapText="1"/>
    </xf>
    <xf numFmtId="165" fontId="8" fillId="3" borderId="1" xfId="3" applyNumberFormat="1" applyFont="1" applyFill="1" applyBorder="1" applyAlignment="1">
      <alignment wrapText="1"/>
    </xf>
    <xf numFmtId="10" fontId="8" fillId="3" borderId="1" xfId="3" applyNumberFormat="1" applyFont="1" applyFill="1" applyBorder="1" applyAlignment="1">
      <alignment wrapText="1"/>
    </xf>
    <xf numFmtId="165" fontId="9" fillId="7" borderId="1" xfId="3" applyNumberFormat="1" applyFont="1" applyFill="1" applyBorder="1" applyAlignment="1">
      <alignment wrapText="1"/>
    </xf>
    <xf numFmtId="165" fontId="5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65" fontId="0" fillId="8" borderId="1" xfId="4" applyNumberFormat="1" applyFont="1" applyFill="1" applyBorder="1" applyAlignment="1">
      <alignment wrapText="1"/>
    </xf>
    <xf numFmtId="165" fontId="0" fillId="0" borderId="2" xfId="0" applyNumberFormat="1" applyBorder="1" applyAlignment="1">
      <alignment wrapText="1"/>
    </xf>
    <xf numFmtId="166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67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65" fontId="0" fillId="8" borderId="1" xfId="0" applyNumberFormat="1" applyFill="1" applyBorder="1" applyAlignment="1">
      <alignment wrapText="1"/>
    </xf>
    <xf numFmtId="0" fontId="12" fillId="0" borderId="1" xfId="5" applyFont="1" applyBorder="1" applyAlignment="1">
      <alignment horizontal="center" wrapText="1"/>
    </xf>
    <xf numFmtId="168" fontId="12" fillId="0" borderId="1" xfId="1" applyNumberFormat="1" applyFont="1" applyFill="1" applyBorder="1" applyAlignment="1">
      <alignment horizontal="center" wrapText="1"/>
    </xf>
    <xf numFmtId="10" fontId="0" fillId="0" borderId="1" xfId="0" applyNumberFormat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65" fontId="0" fillId="0" borderId="3" xfId="0" applyNumberFormat="1" applyBorder="1" applyAlignment="1">
      <alignment wrapText="1"/>
    </xf>
    <xf numFmtId="10" fontId="0" fillId="8" borderId="1" xfId="6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</cellXfs>
  <cellStyles count="7">
    <cellStyle name="Currency 2" xfId="4" xr:uid="{F9C8A6DD-4737-4F55-BE6E-55C65BD27A1C}"/>
    <cellStyle name="Normal" xfId="0" builtinId="0"/>
    <cellStyle name="Normal 2" xfId="2" xr:uid="{24B57BEE-2BE5-4A49-9BA0-AEBC3DE55847}"/>
    <cellStyle name="Normal 2 18 2" xfId="3" xr:uid="{FD5C7CD4-88E8-41AE-A3B4-0FE064C213C8}"/>
    <cellStyle name="Percent" xfId="1" builtinId="5"/>
    <cellStyle name="Percent 2" xfId="6" xr:uid="{959F643C-0ECC-46E4-ACAC-1F33D88FD1BA}"/>
    <cellStyle name="常规_Stein Mart non-electric products 90206" xfId="5" xr:uid="{A7EBF6F1-A459-43EE-BF64-1B1BA7EF40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ownloads\HG%20Natori%202pk%20Pillow%20300tc%20Dobby%20ATC%20commit%207.08.2025.xlsx" TargetMode="External"/><Relationship Id="rId1" Type="http://schemas.openxmlformats.org/officeDocument/2006/relationships/externalLinkPath" Target="HG%20Natori%202pk%20Pillow%20300tc%20Dobby%20ATC%20commit%207.08.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Zhang/Desktop/Work/Hanssem/192.168.20.8/&#23478;&#32442;&#19968;&#37096;/Target/Target%20&#24320;&#21457;&#36164;&#26009;/Fall%2012%20development/D65%20Holiday/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India cost 2.21.25"/>
      <sheetName val="FR  to ATC"/>
      <sheetName val="ATC 1.10.2025"/>
      <sheetName val="ValueSelection"/>
      <sheetName val="Data"/>
    </sheetNames>
    <sheetDataSet>
      <sheetData sheetId="0"/>
      <sheetData sheetId="1"/>
      <sheetData sheetId="2">
        <row r="7">
          <cell r="G7">
            <v>1.01</v>
          </cell>
        </row>
        <row r="8">
          <cell r="G8">
            <v>1.22</v>
          </cell>
        </row>
        <row r="9">
          <cell r="G9">
            <v>1.26</v>
          </cell>
        </row>
        <row r="10">
          <cell r="G10">
            <v>1.5</v>
          </cell>
        </row>
      </sheetData>
      <sheetData sheetId="3"/>
      <sheetData sheetId="4">
        <row r="11">
          <cell r="I11">
            <v>5.6</v>
          </cell>
        </row>
        <row r="12">
          <cell r="I12">
            <v>7.03</v>
          </cell>
        </row>
        <row r="13">
          <cell r="I13">
            <v>5.6</v>
          </cell>
        </row>
        <row r="14">
          <cell r="I14">
            <v>7.03</v>
          </cell>
        </row>
      </sheetData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00EFD-D52E-48B7-91F0-2EDE77FE09FE}">
  <dimension ref="A1:BI5"/>
  <sheetViews>
    <sheetView tabSelected="1" zoomScale="99" zoomScaleNormal="99" workbookViewId="0">
      <selection activeCell="H11" sqref="H11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81640625" style="2" customWidth="1"/>
    <col min="6" max="6" width="11.26953125" style="2" customWidth="1"/>
    <col min="7" max="7" width="9.1796875" style="2" customWidth="1"/>
    <col min="8" max="9" width="7.453125" style="2" customWidth="1"/>
    <col min="10" max="11" width="23.1796875" style="2" customWidth="1"/>
    <col min="12" max="12" width="16" style="2" customWidth="1"/>
    <col min="13" max="14" width="6.1796875" style="2" customWidth="1"/>
    <col min="15" max="15" width="6.81640625" style="2" customWidth="1"/>
    <col min="16" max="17" width="8.81640625" style="2" customWidth="1"/>
    <col min="18" max="18" width="9.7265625" style="3" customWidth="1"/>
    <col min="19" max="19" width="8" style="4" customWidth="1"/>
    <col min="20" max="20" width="12" style="5" customWidth="1"/>
    <col min="21" max="21" width="8.54296875" style="5" customWidth="1"/>
    <col min="22" max="22" width="8.1796875" style="5" customWidth="1"/>
    <col min="23" max="23" width="9.453125" style="2" customWidth="1"/>
    <col min="24" max="24" width="8.1796875" style="6" customWidth="1"/>
    <col min="25" max="25" width="8.7265625" style="6" customWidth="1"/>
    <col min="26" max="26" width="7.1796875" style="6" customWidth="1"/>
    <col min="27" max="27" width="9" style="4" customWidth="1"/>
    <col min="28" max="28" width="6.26953125" style="7" customWidth="1"/>
    <col min="29" max="29" width="10" style="8" customWidth="1"/>
    <col min="30" max="30" width="9.81640625" style="7" customWidth="1"/>
    <col min="31" max="31" width="7.81640625" style="2" customWidth="1"/>
    <col min="32" max="32" width="8.81640625" style="5" customWidth="1"/>
    <col min="33" max="33" width="7.81640625" style="2" customWidth="1"/>
    <col min="34" max="34" width="8.453125" style="9" customWidth="1"/>
    <col min="35" max="35" width="9" style="5" customWidth="1"/>
    <col min="36" max="36" width="8.453125" style="5" customWidth="1"/>
    <col min="37" max="37" width="7.81640625" style="9" customWidth="1"/>
    <col min="38" max="38" width="5.81640625" style="5" customWidth="1"/>
    <col min="39" max="39" width="8.1796875" style="9" customWidth="1"/>
    <col min="40" max="40" width="9.26953125" style="5" customWidth="1"/>
    <col min="41" max="41" width="11.54296875" style="9" customWidth="1"/>
    <col min="42" max="42" width="10.81640625" style="5" customWidth="1"/>
    <col min="43" max="43" width="9.54296875" style="2" customWidth="1"/>
    <col min="44" max="44" width="9.54296875" style="9" customWidth="1"/>
    <col min="45" max="45" width="10" style="5" customWidth="1"/>
    <col min="46" max="46" width="7.54296875" style="5" customWidth="1"/>
    <col min="47" max="47" width="8.1796875" style="9" customWidth="1"/>
    <col min="48" max="48" width="7.1796875" style="9" customWidth="1"/>
    <col min="49" max="50" width="7.1796875" style="5" customWidth="1"/>
    <col min="51" max="51" width="7.81640625" style="5" customWidth="1"/>
    <col min="52" max="52" width="9.54296875" style="5" customWidth="1"/>
    <col min="53" max="53" width="7.7265625" style="5" customWidth="1"/>
    <col min="54" max="54" width="12.1796875" style="5" customWidth="1"/>
    <col min="55" max="55" width="9.1796875" style="2" customWidth="1"/>
    <col min="56" max="57" width="9.1796875" style="2"/>
    <col min="58" max="59" width="11.26953125" style="5" bestFit="1" customWidth="1"/>
    <col min="60" max="60" width="23.1796875" style="2" customWidth="1"/>
    <col min="61" max="61" width="11.26953125" style="10" customWidth="1"/>
    <col min="62" max="16384" width="9.1796875" style="2"/>
  </cols>
  <sheetData>
    <row r="1" spans="1:60" s="10" customFormat="1" ht="68.150000000000006" customHeight="1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4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24" t="s">
        <v>45</v>
      </c>
      <c r="AU1" s="31" t="s">
        <v>46</v>
      </c>
      <c r="AV1" s="30" t="s">
        <v>47</v>
      </c>
      <c r="AW1" s="33" t="s">
        <v>48</v>
      </c>
      <c r="AX1" s="33" t="s">
        <v>49</v>
      </c>
      <c r="AY1" s="30" t="s">
        <v>50</v>
      </c>
      <c r="AZ1" s="34" t="s">
        <v>51</v>
      </c>
      <c r="BA1" s="35" t="s">
        <v>52</v>
      </c>
      <c r="BB1" s="36" t="s">
        <v>53</v>
      </c>
      <c r="BC1" s="37" t="s">
        <v>54</v>
      </c>
      <c r="BD1" s="35" t="s">
        <v>55</v>
      </c>
      <c r="BE1" s="13" t="s">
        <v>56</v>
      </c>
      <c r="BF1" s="30" t="s">
        <v>57</v>
      </c>
      <c r="BG1" s="30" t="s">
        <v>58</v>
      </c>
      <c r="BH1" s="14" t="s">
        <v>59</v>
      </c>
    </row>
    <row r="2" spans="1:60" s="10" customFormat="1" ht="77" customHeight="1">
      <c r="A2" s="38">
        <v>1</v>
      </c>
      <c r="B2" s="39"/>
      <c r="C2" s="39"/>
      <c r="D2" s="39" t="s">
        <v>60</v>
      </c>
      <c r="E2" s="39" t="s">
        <v>61</v>
      </c>
      <c r="F2" s="39" t="s">
        <v>62</v>
      </c>
      <c r="G2" s="39" t="s">
        <v>63</v>
      </c>
      <c r="H2" s="39" t="s">
        <v>64</v>
      </c>
      <c r="I2" s="40" t="s">
        <v>65</v>
      </c>
      <c r="J2" s="40" t="s">
        <v>66</v>
      </c>
      <c r="K2" s="40" t="s">
        <v>67</v>
      </c>
      <c r="L2" s="40" t="s">
        <v>68</v>
      </c>
      <c r="M2" s="39" t="s">
        <v>69</v>
      </c>
      <c r="N2" s="39"/>
      <c r="O2" s="39"/>
      <c r="P2" s="39"/>
      <c r="Q2" s="39" t="s">
        <v>70</v>
      </c>
      <c r="R2" s="41"/>
      <c r="S2" s="42">
        <v>8.1</v>
      </c>
      <c r="T2" s="43">
        <f>IF(ISERROR(R2/S2),"",R2/S2)</f>
        <v>0</v>
      </c>
      <c r="U2" s="44">
        <f>'[1]India cost 2.21.25'!G7*2</f>
        <v>2.02</v>
      </c>
      <c r="V2" s="12">
        <v>2.02</v>
      </c>
      <c r="W2" s="39" t="s">
        <v>71</v>
      </c>
      <c r="X2" s="45">
        <v>52</v>
      </c>
      <c r="Y2" s="45">
        <v>40</v>
      </c>
      <c r="Z2" s="45">
        <v>27</v>
      </c>
      <c r="AA2" s="42"/>
      <c r="AB2" s="46">
        <v>60</v>
      </c>
      <c r="AC2" s="47">
        <f>IF(X2="","",X2*Y2*Z2/1000000)</f>
        <v>5.6000000000000001E-2</v>
      </c>
      <c r="AD2" s="48">
        <f>IF(AB2="","",65/AC2*AB2)</f>
        <v>69643</v>
      </c>
      <c r="AE2" s="39">
        <f>2600+1000+300+200</f>
        <v>4100</v>
      </c>
      <c r="AF2" s="49">
        <f>IF(ISERROR(AE2/AD2),"",AE2/AD2)</f>
        <v>0.06</v>
      </c>
      <c r="AG2" s="50" t="s">
        <v>72</v>
      </c>
      <c r="AH2" s="51">
        <f>7%+27%</f>
        <v>0.34</v>
      </c>
      <c r="AI2" s="49">
        <f>IF(ISERROR(U2*AH2),"",U2*AH2)</f>
        <v>0.69</v>
      </c>
      <c r="AJ2" s="49">
        <f t="shared" ref="AJ2:AJ5" si="0">IF(ISERROR(U2+AF2+AI2),"",U2+AF2+AI2)</f>
        <v>2.77</v>
      </c>
      <c r="AK2" s="52"/>
      <c r="AL2" s="49">
        <f t="shared" ref="AL2:AL5" si="1">IF(ISERROR(BB2*AK2),"",BB2*AK2)</f>
        <v>0</v>
      </c>
      <c r="AM2" s="52"/>
      <c r="AN2" s="49">
        <f t="shared" ref="AN2:AN5" si="2">IF(ISERROR(BB2*AM2),"",BB2*AM2)</f>
        <v>0</v>
      </c>
      <c r="AO2" s="52"/>
      <c r="AP2" s="49">
        <f t="shared" ref="AP2:AP5" si="3">IF(ISERROR(BB2*AO2),"",BB2*AO2)</f>
        <v>0</v>
      </c>
      <c r="AQ2" s="39" t="s">
        <v>73</v>
      </c>
      <c r="AR2" s="52">
        <v>0.06</v>
      </c>
      <c r="AS2" s="49">
        <f t="shared" ref="AS2:AS5" si="4">IF(ISERROR(BB2*AR2),"",BB2*AR2)</f>
        <v>0.56999999999999995</v>
      </c>
      <c r="AT2" s="39"/>
      <c r="AU2" s="52"/>
      <c r="AV2" s="53">
        <f t="shared" ref="AV2:AV5" si="5">IF(ISERROR(BB2*AU2),"",BB2*AU2)</f>
        <v>0</v>
      </c>
      <c r="AW2" s="54">
        <f>'[1]ATC 1.10.2025'!I11</f>
        <v>5.6</v>
      </c>
      <c r="AX2" s="54">
        <f>AJ2*2%</f>
        <v>0.06</v>
      </c>
      <c r="AY2" s="49">
        <f>IF(ISERROR(AL2+AN2+AP2+AS2+AV2+AW2+AX2),"",AL2+AN2+AP2+AS2+AV2+AW2+AX2)</f>
        <v>6.23</v>
      </c>
      <c r="AZ2" s="49">
        <f t="shared" ref="AZ2:AZ5" si="6">IF(ISERROR(AJ2+AY2),"",AJ2+AY2)</f>
        <v>9</v>
      </c>
      <c r="BA2" s="55">
        <f t="shared" ref="BA2:BA5" si="7">IF(ISERROR((BB2-AZ2)/BB2),"",(BB2-AZ2)/BB2)</f>
        <v>5.2600000000000001E-2</v>
      </c>
      <c r="BB2" s="12">
        <v>9.5</v>
      </c>
      <c r="BC2" s="12">
        <v>19.989999999999998</v>
      </c>
      <c r="BD2" s="55">
        <f>IF(ISERROR((BC2-BB2)/BC2),"",(BC2-BB2)/BC2)</f>
        <v>0.52480000000000004</v>
      </c>
      <c r="BE2" s="11">
        <v>15000</v>
      </c>
      <c r="BF2" s="49">
        <f t="shared" ref="BF2:BF5" si="8">IF(ISERROR(BA2*BE2),"",AZ2*BE2)</f>
        <v>135000</v>
      </c>
      <c r="BG2" s="49">
        <f>IF(ISERROR(BB2*BE2),"",BB2*BE2)</f>
        <v>142500</v>
      </c>
      <c r="BH2" s="40" t="s">
        <v>74</v>
      </c>
    </row>
    <row r="3" spans="1:60" s="10" customFormat="1" ht="84.5" customHeight="1">
      <c r="A3" s="38">
        <v>2</v>
      </c>
      <c r="B3" s="39"/>
      <c r="C3" s="39"/>
      <c r="D3" s="39" t="s">
        <v>60</v>
      </c>
      <c r="E3" s="39" t="s">
        <v>61</v>
      </c>
      <c r="F3" s="39" t="s">
        <v>62</v>
      </c>
      <c r="G3" s="39" t="s">
        <v>63</v>
      </c>
      <c r="H3" s="39" t="s">
        <v>64</v>
      </c>
      <c r="I3" s="40" t="s">
        <v>65</v>
      </c>
      <c r="J3" s="40" t="s">
        <v>66</v>
      </c>
      <c r="K3" s="40" t="s">
        <v>75</v>
      </c>
      <c r="L3" s="56" t="s">
        <v>76</v>
      </c>
      <c r="M3" s="39" t="s">
        <v>69</v>
      </c>
      <c r="N3" s="39"/>
      <c r="O3" s="39"/>
      <c r="P3" s="39"/>
      <c r="Q3" s="39" t="s">
        <v>70</v>
      </c>
      <c r="R3" s="41"/>
      <c r="S3" s="42">
        <v>8.1</v>
      </c>
      <c r="T3" s="43">
        <f t="shared" ref="T3:T5" si="9">IF(ISERROR(R3/S3),"",R3/S3)</f>
        <v>0</v>
      </c>
      <c r="U3" s="44">
        <f>'[1]India cost 2.21.25'!G8*2</f>
        <v>2.44</v>
      </c>
      <c r="V3" s="12">
        <v>2.44</v>
      </c>
      <c r="W3" s="39" t="s">
        <v>71</v>
      </c>
      <c r="X3" s="45">
        <v>52</v>
      </c>
      <c r="Y3" s="45">
        <v>50</v>
      </c>
      <c r="Z3" s="45">
        <v>27</v>
      </c>
      <c r="AA3" s="42"/>
      <c r="AB3" s="11">
        <v>60</v>
      </c>
      <c r="AC3" s="47">
        <f t="shared" ref="AC3:AC5" si="10">IF(X3="","",X3*Y3*Z3/1000000)</f>
        <v>7.0000000000000007E-2</v>
      </c>
      <c r="AD3" s="48">
        <f t="shared" ref="AD3:AD5" si="11">IF(AB3="","",65/AC3*AB3)</f>
        <v>55714</v>
      </c>
      <c r="AE3" s="39">
        <f t="shared" ref="AE3:AE5" si="12">2600+1000+300+200</f>
        <v>4100</v>
      </c>
      <c r="AF3" s="49">
        <f t="shared" ref="AF3:AF5" si="13">IF(ISERROR(AE3/AD3),"",AE3/AD3)</f>
        <v>7.0000000000000007E-2</v>
      </c>
      <c r="AG3" s="50" t="s">
        <v>72</v>
      </c>
      <c r="AH3" s="51">
        <f t="shared" ref="AH3:AH5" si="14">7%+27%</f>
        <v>0.34</v>
      </c>
      <c r="AI3" s="49">
        <f>IF(ISERROR(U3*AH3),"",U3*AH3)</f>
        <v>0.83</v>
      </c>
      <c r="AJ3" s="49">
        <f t="shared" si="0"/>
        <v>3.34</v>
      </c>
      <c r="AK3" s="52"/>
      <c r="AL3" s="49">
        <f t="shared" si="1"/>
        <v>0</v>
      </c>
      <c r="AM3" s="52"/>
      <c r="AN3" s="49">
        <f t="shared" si="2"/>
        <v>0</v>
      </c>
      <c r="AO3" s="52"/>
      <c r="AP3" s="49">
        <f t="shared" si="3"/>
        <v>0</v>
      </c>
      <c r="AQ3" s="39" t="s">
        <v>73</v>
      </c>
      <c r="AR3" s="52">
        <v>0.06</v>
      </c>
      <c r="AS3" s="49">
        <f t="shared" si="4"/>
        <v>0.69</v>
      </c>
      <c r="AT3" s="39"/>
      <c r="AU3" s="52"/>
      <c r="AV3" s="53">
        <f t="shared" si="5"/>
        <v>0</v>
      </c>
      <c r="AW3" s="54">
        <f>'[1]ATC 1.10.2025'!I12</f>
        <v>7.03</v>
      </c>
      <c r="AX3" s="54">
        <f t="shared" ref="AX3:AX5" si="15">AJ3*2%</f>
        <v>7.0000000000000007E-2</v>
      </c>
      <c r="AY3" s="49">
        <f t="shared" ref="AY3:AY5" si="16">IF(ISERROR(AL3+AN3+AP3+AS3+AV3+AW3+AX3),"",AL3+AN3+AP3+AS3+AV3+AW3+AX3)</f>
        <v>7.79</v>
      </c>
      <c r="AZ3" s="49">
        <f t="shared" si="6"/>
        <v>11.13</v>
      </c>
      <c r="BA3" s="55">
        <f t="shared" si="7"/>
        <v>3.2199999999999999E-2</v>
      </c>
      <c r="BB3" s="12">
        <v>11.5</v>
      </c>
      <c r="BC3" s="12">
        <v>24.99</v>
      </c>
      <c r="BD3" s="55">
        <f t="shared" ref="BD3:BD5" si="17">IF(ISERROR((BC3-BB3)/BC3),"",(BC3-BB3)/BC3)</f>
        <v>0.53979999999999995</v>
      </c>
      <c r="BE3" s="11">
        <v>10000</v>
      </c>
      <c r="BF3" s="49">
        <f t="shared" si="8"/>
        <v>111300</v>
      </c>
      <c r="BG3" s="49">
        <f t="shared" ref="BG3:BG5" si="18">IF(ISERROR(BB3*BE3),"",BB3*BE3)</f>
        <v>115000</v>
      </c>
      <c r="BH3" s="40" t="s">
        <v>74</v>
      </c>
    </row>
    <row r="4" spans="1:60" s="10" customFormat="1" ht="85" customHeight="1">
      <c r="A4" s="38">
        <v>3</v>
      </c>
      <c r="B4" s="39"/>
      <c r="C4" s="39"/>
      <c r="D4" s="39" t="s">
        <v>60</v>
      </c>
      <c r="E4" s="39" t="s">
        <v>61</v>
      </c>
      <c r="F4" s="39" t="s">
        <v>62</v>
      </c>
      <c r="G4" s="39" t="s">
        <v>63</v>
      </c>
      <c r="H4" s="39" t="s">
        <v>64</v>
      </c>
      <c r="I4" s="40" t="s">
        <v>65</v>
      </c>
      <c r="J4" s="40" t="s">
        <v>66</v>
      </c>
      <c r="K4" s="40" t="s">
        <v>67</v>
      </c>
      <c r="L4" s="40" t="s">
        <v>68</v>
      </c>
      <c r="M4" s="39" t="s">
        <v>69</v>
      </c>
      <c r="N4" s="39"/>
      <c r="O4" s="39"/>
      <c r="P4" s="39"/>
      <c r="Q4" s="39" t="s">
        <v>70</v>
      </c>
      <c r="R4" s="41"/>
      <c r="S4" s="42">
        <v>8.1</v>
      </c>
      <c r="T4" s="43">
        <f t="shared" si="9"/>
        <v>0</v>
      </c>
      <c r="U4" s="44">
        <f>'[1]India cost 2.21.25'!G9*2</f>
        <v>2.52</v>
      </c>
      <c r="V4" s="12">
        <v>2.52</v>
      </c>
      <c r="W4" s="39" t="s">
        <v>71</v>
      </c>
      <c r="X4" s="45">
        <v>54</v>
      </c>
      <c r="Y4" s="45">
        <v>42</v>
      </c>
      <c r="Z4" s="45">
        <v>32</v>
      </c>
      <c r="AA4" s="42"/>
      <c r="AB4" s="11">
        <v>60</v>
      </c>
      <c r="AC4" s="47">
        <f t="shared" si="10"/>
        <v>7.2999999999999995E-2</v>
      </c>
      <c r="AD4" s="48">
        <f t="shared" si="11"/>
        <v>53425</v>
      </c>
      <c r="AE4" s="39">
        <f t="shared" si="12"/>
        <v>4100</v>
      </c>
      <c r="AF4" s="49">
        <f t="shared" si="13"/>
        <v>0.08</v>
      </c>
      <c r="AG4" s="50" t="s">
        <v>72</v>
      </c>
      <c r="AH4" s="51">
        <f t="shared" si="14"/>
        <v>0.34</v>
      </c>
      <c r="AI4" s="49">
        <f t="shared" ref="AI4:AI5" si="19">IF(ISERROR(U4*AH4),"",U4*AH4)</f>
        <v>0.86</v>
      </c>
      <c r="AJ4" s="49">
        <f t="shared" si="0"/>
        <v>3.46</v>
      </c>
      <c r="AK4" s="52"/>
      <c r="AL4" s="49">
        <f t="shared" si="1"/>
        <v>0</v>
      </c>
      <c r="AM4" s="52"/>
      <c r="AN4" s="49">
        <f t="shared" si="2"/>
        <v>0</v>
      </c>
      <c r="AO4" s="52"/>
      <c r="AP4" s="49">
        <f t="shared" si="3"/>
        <v>0</v>
      </c>
      <c r="AQ4" s="39" t="s">
        <v>73</v>
      </c>
      <c r="AR4" s="52">
        <v>0.06</v>
      </c>
      <c r="AS4" s="49">
        <f t="shared" si="4"/>
        <v>0.63</v>
      </c>
      <c r="AT4" s="39"/>
      <c r="AU4" s="52"/>
      <c r="AV4" s="53">
        <f t="shared" si="5"/>
        <v>0</v>
      </c>
      <c r="AW4" s="54">
        <f>'[1]ATC 1.10.2025'!I13</f>
        <v>5.6</v>
      </c>
      <c r="AX4" s="54">
        <f t="shared" si="15"/>
        <v>7.0000000000000007E-2</v>
      </c>
      <c r="AY4" s="49">
        <f t="shared" si="16"/>
        <v>6.3</v>
      </c>
      <c r="AZ4" s="49">
        <f t="shared" si="6"/>
        <v>9.76</v>
      </c>
      <c r="BA4" s="55">
        <f t="shared" si="7"/>
        <v>7.0499999999999993E-2</v>
      </c>
      <c r="BB4" s="12">
        <v>10.5</v>
      </c>
      <c r="BC4" s="12">
        <v>19.989999999999998</v>
      </c>
      <c r="BD4" s="55">
        <f t="shared" si="17"/>
        <v>0.47470000000000001</v>
      </c>
      <c r="BE4" s="11">
        <v>15000</v>
      </c>
      <c r="BF4" s="49">
        <f t="shared" si="8"/>
        <v>146400</v>
      </c>
      <c r="BG4" s="49">
        <f t="shared" si="18"/>
        <v>157500</v>
      </c>
      <c r="BH4" s="40" t="s">
        <v>74</v>
      </c>
    </row>
    <row r="5" spans="1:60" s="10" customFormat="1" ht="76" customHeight="1">
      <c r="A5" s="38">
        <v>4</v>
      </c>
      <c r="B5" s="39"/>
      <c r="C5" s="39"/>
      <c r="D5" s="39" t="s">
        <v>60</v>
      </c>
      <c r="E5" s="39" t="s">
        <v>61</v>
      </c>
      <c r="F5" s="39" t="s">
        <v>62</v>
      </c>
      <c r="G5" s="39" t="s">
        <v>63</v>
      </c>
      <c r="H5" s="39" t="s">
        <v>64</v>
      </c>
      <c r="I5" s="40" t="s">
        <v>65</v>
      </c>
      <c r="J5" s="40" t="s">
        <v>66</v>
      </c>
      <c r="K5" s="40" t="s">
        <v>75</v>
      </c>
      <c r="L5" s="56" t="s">
        <v>76</v>
      </c>
      <c r="M5" s="39" t="s">
        <v>69</v>
      </c>
      <c r="N5" s="39"/>
      <c r="O5" s="39"/>
      <c r="P5" s="39"/>
      <c r="Q5" s="39" t="s">
        <v>70</v>
      </c>
      <c r="R5" s="41"/>
      <c r="S5" s="42">
        <v>8.1</v>
      </c>
      <c r="T5" s="43">
        <f t="shared" si="9"/>
        <v>0</v>
      </c>
      <c r="U5" s="44">
        <f>'[1]India cost 2.21.25'!G10*2</f>
        <v>3</v>
      </c>
      <c r="V5" s="12">
        <v>3</v>
      </c>
      <c r="W5" s="39" t="s">
        <v>71</v>
      </c>
      <c r="X5" s="45">
        <v>54</v>
      </c>
      <c r="Y5" s="45">
        <v>52</v>
      </c>
      <c r="Z5" s="45">
        <v>34</v>
      </c>
      <c r="AA5" s="42"/>
      <c r="AB5" s="11">
        <v>60</v>
      </c>
      <c r="AC5" s="47">
        <f t="shared" si="10"/>
        <v>9.5000000000000001E-2</v>
      </c>
      <c r="AD5" s="48">
        <f t="shared" si="11"/>
        <v>41053</v>
      </c>
      <c r="AE5" s="39">
        <f t="shared" si="12"/>
        <v>4100</v>
      </c>
      <c r="AF5" s="49">
        <f t="shared" si="13"/>
        <v>0.1</v>
      </c>
      <c r="AG5" s="50" t="s">
        <v>72</v>
      </c>
      <c r="AH5" s="51">
        <f t="shared" si="14"/>
        <v>0.34</v>
      </c>
      <c r="AI5" s="49">
        <f t="shared" si="19"/>
        <v>1.02</v>
      </c>
      <c r="AJ5" s="49">
        <f t="shared" si="0"/>
        <v>4.12</v>
      </c>
      <c r="AK5" s="52"/>
      <c r="AL5" s="49">
        <f t="shared" si="1"/>
        <v>0</v>
      </c>
      <c r="AM5" s="52"/>
      <c r="AN5" s="49">
        <f t="shared" si="2"/>
        <v>0</v>
      </c>
      <c r="AO5" s="52"/>
      <c r="AP5" s="49">
        <f t="shared" si="3"/>
        <v>0</v>
      </c>
      <c r="AQ5" s="39" t="s">
        <v>73</v>
      </c>
      <c r="AR5" s="52">
        <v>0.06</v>
      </c>
      <c r="AS5" s="49">
        <f t="shared" si="4"/>
        <v>0.75</v>
      </c>
      <c r="AT5" s="39"/>
      <c r="AU5" s="52"/>
      <c r="AV5" s="53">
        <f t="shared" si="5"/>
        <v>0</v>
      </c>
      <c r="AW5" s="54">
        <f>'[1]ATC 1.10.2025'!I14</f>
        <v>7.03</v>
      </c>
      <c r="AX5" s="54">
        <f t="shared" si="15"/>
        <v>0.08</v>
      </c>
      <c r="AY5" s="49">
        <f t="shared" si="16"/>
        <v>7.86</v>
      </c>
      <c r="AZ5" s="49">
        <f t="shared" si="6"/>
        <v>11.98</v>
      </c>
      <c r="BA5" s="55">
        <f t="shared" si="7"/>
        <v>4.1599999999999998E-2</v>
      </c>
      <c r="BB5" s="12">
        <v>12.5</v>
      </c>
      <c r="BC5" s="12">
        <v>24.99</v>
      </c>
      <c r="BD5" s="55">
        <f t="shared" si="17"/>
        <v>0.49980000000000002</v>
      </c>
      <c r="BE5" s="11">
        <v>10000</v>
      </c>
      <c r="BF5" s="49">
        <f t="shared" si="8"/>
        <v>119800</v>
      </c>
      <c r="BG5" s="49">
        <f t="shared" si="18"/>
        <v>125000</v>
      </c>
      <c r="BH5" s="40" t="s">
        <v>74</v>
      </c>
    </row>
  </sheetData>
  <sheetProtection insertRows="0" deleteRows="0" sort="0"/>
  <protectedRanges>
    <protectedRange sqref="N2:AF5 BC2:BE5 A6:BB245 AY2:BA5 A2:C5 BH6:BH245 AI2:AT5" name="Range1"/>
    <protectedRange sqref="AV2:AX5" name="Range1_1"/>
    <protectedRange sqref="D2:M5 BH2:BH5" name="Range1_2"/>
  </protectedRange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2025-07-10T23:09:15Z</dcterms:created>
  <dcterms:modified xsi:type="dcterms:W3CDTF">2025-07-10T23:12:23Z</dcterms:modified>
</cp:coreProperties>
</file>