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BBF82358-6B62-42F7-A797-0FDEF0E463E4}" xr6:coauthVersionLast="47" xr6:coauthVersionMax="47" xr10:uidLastSave="{00000000-0000-0000-0000-000000000000}"/>
  <bookViews>
    <workbookView xWindow="-110" yWindow="-110" windowWidth="19420" windowHeight="10300" xr2:uid="{CE1CDF31-C6A8-4101-94B5-D4BDA7005ED5}"/>
  </bookViews>
  <sheets>
    <sheet name="Ite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3" i="1" l="1"/>
  <c r="BE3" i="1" s="1"/>
  <c r="BB3" i="1"/>
  <c r="AY3" i="1" s="1"/>
  <c r="AU3" i="1"/>
  <c r="AR3" i="1"/>
  <c r="AO3" i="1"/>
  <c r="AM3" i="1"/>
  <c r="AK3" i="1"/>
  <c r="AG3" i="1"/>
  <c r="AH3" i="1" s="1"/>
  <c r="AB3" i="1"/>
  <c r="AC3" i="1" s="1"/>
  <c r="AE3" i="1" s="1"/>
  <c r="S3" i="1"/>
  <c r="BC2" i="1"/>
  <c r="BE2" i="1" s="1"/>
  <c r="BB2" i="1"/>
  <c r="AY2" i="1" s="1"/>
  <c r="AU2" i="1"/>
  <c r="AR2" i="1"/>
  <c r="AO2" i="1"/>
  <c r="AM2" i="1"/>
  <c r="AK2" i="1"/>
  <c r="AV2" i="1" s="1"/>
  <c r="AG2" i="1"/>
  <c r="AH2" i="1" s="1"/>
  <c r="AB2" i="1"/>
  <c r="AC2" i="1" s="1"/>
  <c r="AE2" i="1" s="1"/>
  <c r="AI3" i="1" l="1"/>
  <c r="AV3" i="1"/>
  <c r="AW3" i="1" s="1"/>
  <c r="AX3" i="1" s="1"/>
  <c r="BD3" i="1" s="1"/>
  <c r="AI2" i="1"/>
  <c r="AW2" i="1"/>
  <c r="AX2" i="1" s="1"/>
  <c r="BD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29372B7D-B2A0-459B-B16C-46F7C8C131E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B4987A44-A156-4460-931B-51774D7E03D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60D0F166-A481-4EBC-8A96-055A1F15C442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85DF2FAC-B5EF-400D-8FFF-B4D74B07C8E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25AB7F8A-F04E-43D9-9A85-53FB5DB1B1DA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C6A1A24B-6885-4B76-93C8-90055309F65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ECC11F1B-1A71-4A10-92B3-A04AA5E43E29}">
      <text>
        <r>
          <rPr>
            <sz val="11"/>
            <rFont val="Calibri"/>
            <family val="2"/>
          </rPr>
          <t>[JLA FOB CA/GA Price Quote (Value)]*[DA %]</t>
        </r>
      </text>
    </comment>
    <comment ref="AL1" authorId="0" shapeId="0" xr:uid="{0EBE095C-36A8-4E4B-9501-2024956FCE6C}">
      <text>
        <r>
          <rPr>
            <sz val="11"/>
            <rFont val="Calibri"/>
            <family val="2"/>
          </rPr>
          <t xml:space="preserve">
          </t>
        </r>
      </text>
    </comment>
    <comment ref="AM1" authorId="0" shapeId="0" xr:uid="{3E1B4D82-83BB-4255-B40F-E432C9CDCADC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N1" authorId="0" shapeId="0" xr:uid="{EB580EA2-87A0-45DE-A003-05EF55A5921B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7083E74A-C61E-4F62-A971-56719619EC76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R1" authorId="0" shapeId="0" xr:uid="{10AD4687-FC31-4F19-BBD9-8B900B427925}">
      <text>
        <r>
          <rPr>
            <sz val="11"/>
            <rFont val="Calibri"/>
            <family val="2"/>
          </rPr>
          <t>[JLA FOB CA/GA Price Quote (Value)]*[Load 1 %]</t>
        </r>
      </text>
    </comment>
    <comment ref="AU1" authorId="0" shapeId="0" xr:uid="{4BFC0163-4E57-4F23-B951-B760B986623D}">
      <text>
        <r>
          <rPr>
            <sz val="11"/>
            <rFont val="Calibri"/>
            <family val="2"/>
          </rPr>
          <t>[JLA FOB CA/GA Price Quote (Value)]*[Load 2 %]</t>
        </r>
      </text>
    </comment>
    <comment ref="AV1" authorId="0" shapeId="0" xr:uid="{8A56C625-5A56-4EF3-8A54-254930730587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W1" authorId="0" shapeId="0" xr:uid="{B4611A3D-17FC-4035-B726-9AD70700076A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7C3A80E6-F927-42AB-AE83-77D69E7E2853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Y1" authorId="0" shapeId="0" xr:uid="{615580FB-653E-4221-AA0B-A9E24B6069BE}">
      <text>
        <r>
          <rPr>
            <sz val="11"/>
            <rFont val="Calibri"/>
            <family val="2"/>
          </rPr>
          <t>[Suggested Retail Price]*(1-[Retailer Markup])</t>
        </r>
      </text>
    </comment>
    <comment ref="BD1" authorId="0" shapeId="0" xr:uid="{6FE29B5A-B8C0-4273-AE31-648AF09FA91B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A9C7F378-4D54-41CF-9D8A-4591B24B3BB2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<sst xmlns="http://schemas.openxmlformats.org/spreadsheetml/2006/main" count="83" uniqueCount="71">
  <si>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</si>
  <si>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</si>
  <si>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</si>
  <si>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</si>
  <si>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</si>
  <si>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</si>
  <si>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</si>
  <si>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</si>
  <si>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</si>
  <si>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</si>
  <si>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</si>
  <si>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</si>
  <si>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</si>
  <si>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</si>
  <si>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</si>
  <si>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</si>
  <si>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</si>
  <si>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</si>
  <si>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</si>
  <si>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</si>
  <si>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</si>
  <si>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</si>
  <si>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</si>
  <si>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</si>
  <si>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</si>
  <si>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</si>
  <si>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</si>
  <si>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</si>
  <si>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</si>
  <si>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</si>
  <si>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</si>
  <si>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</si>
  <si>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</si>
  <si>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</si>
  <si>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</si>
  <si>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</si>
  <si>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</si>
  <si>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</si>
  <si>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</si>
  <si>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</si>
  <si>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</si>
  <si>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</si>
  <si>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</si>
  <si>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</si>
  <si>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</si>
  <si>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</si>
  <si>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</si>
  <si>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</si>
  <si>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</si>
  <si>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</si>
  <si>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</si>
  <si>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</si>
  <si>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</si>
  <si>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</si>
  <si>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</si>
  <si>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</si>
  <si>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</si>
  <si>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N Natori</t>
  </si>
  <si>
    <t>N Natori 5%</t>
  </si>
  <si>
    <t>COMFORTER SET</t>
  </si>
  <si>
    <t>Grove</t>
  </si>
  <si>
    <t xml:space="preserve">Grove Comforter Mini Set </t>
  </si>
  <si>
    <t xml:space="preserve">Comforter mini Set </t>
  </si>
  <si>
    <t xml:space="preserve">Face: 250TC 60% cotton 40% lyocell      Reverse: 140TC 100% cotton     Filling: 250 gsm polyfill </t>
  </si>
  <si>
    <t>F/Q: 92x96"/20x26"(2)</t>
  </si>
  <si>
    <t>Grey</t>
  </si>
  <si>
    <t>Piece</t>
  </si>
  <si>
    <t>Normal</t>
  </si>
  <si>
    <t>9404.40.1000</t>
  </si>
  <si>
    <t>Royalty</t>
  </si>
  <si>
    <t>King: 110x96"/20x36(2)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</si>
</sst>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0.0"/>
  </numFmts>
  <fonts count="7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3" xfId="0" applyNumberFormat="1" applyBorder="1" applyAlignment="1">
      <alignment wrapText="1"/>
    </xf>
    <xf numFmtId="165" fontId="0" fillId="0" borderId="3" xfId="0" applyNumberForma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5" borderId="3" xfId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  <xf numFmtId="2" fontId="2" fillId="2" borderId="3" xfId="0" applyNumberFormat="1" applyFont="1" applyFill="1" applyBorder="1" applyAlignment="1">
      <alignment horizontal="center" wrapText="1"/>
    </xf>
    <xf numFmtId="165" fontId="5" fillId="2" borderId="3" xfId="2" applyNumberFormat="1" applyFont="1" applyFill="1" applyBorder="1" applyAlignment="1">
      <alignment wrapText="1"/>
    </xf>
    <xf numFmtId="165" fontId="2" fillId="6" borderId="1" xfId="0" applyNumberFormat="1" applyFont="1" applyFill="1" applyBorder="1" applyAlignment="1">
      <alignment horizontal="center" wrapText="1"/>
    </xf>
    <xf numFmtId="165" fontId="2" fillId="2" borderId="3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66" fontId="2" fillId="0" borderId="3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 wrapText="1"/>
    </xf>
    <xf numFmtId="1" fontId="2" fillId="0" borderId="3" xfId="0" applyNumberFormat="1" applyFont="1" applyBorder="1" applyAlignment="1">
      <alignment horizontal="center" wrapText="1"/>
    </xf>
    <xf numFmtId="2" fontId="5" fillId="0" borderId="3" xfId="2" applyNumberFormat="1" applyFont="1" applyBorder="1" applyAlignment="1">
      <alignment wrapText="1"/>
    </xf>
    <xf numFmtId="1" fontId="5" fillId="0" borderId="3" xfId="2" applyNumberFormat="1" applyFont="1" applyBorder="1" applyAlignment="1">
      <alignment wrapText="1"/>
    </xf>
    <xf numFmtId="165" fontId="5" fillId="0" borderId="3" xfId="2" applyNumberFormat="1" applyFont="1" applyBorder="1" applyAlignment="1">
      <alignment wrapText="1"/>
    </xf>
    <xf numFmtId="10" fontId="2" fillId="0" borderId="3" xfId="0" applyNumberFormat="1" applyFont="1" applyBorder="1" applyAlignment="1">
      <alignment horizontal="center" wrapText="1"/>
    </xf>
    <xf numFmtId="165" fontId="5" fillId="5" borderId="3" xfId="2" applyNumberFormat="1" applyFont="1" applyFill="1" applyBorder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65" fontId="5" fillId="3" borderId="3" xfId="2" applyNumberFormat="1" applyFont="1" applyFill="1" applyBorder="1" applyAlignment="1">
      <alignment wrapText="1"/>
    </xf>
    <xf numFmtId="10" fontId="5" fillId="3" borderId="3" xfId="2" applyNumberFormat="1" applyFont="1" applyFill="1" applyBorder="1" applyAlignment="1">
      <alignment wrapText="1"/>
    </xf>
    <xf numFmtId="165" fontId="6" fillId="7" borderId="3" xfId="2" applyNumberFormat="1" applyFont="1" applyFill="1" applyBorder="1" applyAlignment="1">
      <alignment wrapText="1"/>
    </xf>
    <xf numFmtId="165" fontId="2" fillId="3" borderId="3" xfId="0" applyNumberFormat="1" applyFont="1" applyFill="1" applyBorder="1" applyAlignment="1">
      <alignment horizontal="center" wrapText="1"/>
    </xf>
    <xf numFmtId="165" fontId="2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wrapText="1"/>
    </xf>
    <xf numFmtId="164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65" fontId="0" fillId="8" borderId="3" xfId="3" applyNumberFormat="1" applyFont="1" applyFill="1" applyBorder="1" applyAlignment="1">
      <alignment wrapText="1"/>
    </xf>
    <xf numFmtId="165" fontId="0" fillId="0" borderId="1" xfId="0" applyNumberFormat="1" applyBorder="1" applyAlignment="1">
      <alignment wrapText="1"/>
    </xf>
    <xf numFmtId="166" fontId="0" fillId="0" borderId="3" xfId="0" applyNumberFormat="1" applyBorder="1" applyAlignment="1">
      <alignment wrapText="1"/>
    </xf>
    <xf numFmtId="1" fontId="1" fillId="0" borderId="3" xfId="0" applyNumberFormat="1" applyFont="1" applyBorder="1" applyAlignment="1">
      <alignment wrapText="1"/>
    </xf>
    <xf numFmtId="2" fontId="0" fillId="8" borderId="3" xfId="0" applyNumberFormat="1" applyFill="1" applyBorder="1" applyAlignment="1">
      <alignment wrapText="1"/>
    </xf>
    <xf numFmtId="1" fontId="0" fillId="8" borderId="3" xfId="0" applyNumberFormat="1" applyFill="1" applyBorder="1" applyAlignment="1">
      <alignment wrapText="1"/>
    </xf>
    <xf numFmtId="165" fontId="0" fillId="8" borderId="3" xfId="0" applyNumberFormat="1" applyFill="1" applyBorder="1" applyAlignment="1">
      <alignment wrapText="1"/>
    </xf>
    <xf numFmtId="10" fontId="0" fillId="0" borderId="3" xfId="0" applyNumberFormat="1" applyBorder="1" applyAlignment="1">
      <alignment wrapText="1"/>
    </xf>
    <xf numFmtId="165" fontId="0" fillId="8" borderId="2" xfId="0" applyNumberFormat="1" applyFill="1" applyBorder="1" applyAlignment="1">
      <alignment wrapText="1"/>
    </xf>
    <xf numFmtId="10" fontId="0" fillId="8" borderId="3" xfId="4" applyNumberFormat="1" applyFont="1" applyFill="1" applyBorder="1" applyAlignment="1">
      <alignment wrapText="1"/>
    </xf>
  </cellXfs>
  <cellStyles count="5">
    <cellStyle name="Currency 2" xfId="3" xr:uid="{2F74765D-7C07-4B42-867E-1304CC1F1D16}"/>
    <cellStyle name="Normal" xfId="0" builtinId="0"/>
    <cellStyle name="Normal 2" xfId="1" xr:uid="{FDCF336F-BD69-457B-BC8B-63D34B7802C7}"/>
    <cellStyle name="Normal 2 18 2" xfId="2" xr:uid="{15EC80EB-1057-4893-9924-024175B86B4E}"/>
    <cellStyle name="Percent 2" xfId="4" xr:uid="{50CF273D-20E3-4EDC-AFAE-1D7544EB6E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zhu\AppData\Local\Microsoft\Windows\INetCache\Content.Outlook\5L2W049N\DL%20SP26%20N%20Natori%20Grove%20Comforter%20Commitment%2006%2010%202025%20PK.xlsx" TargetMode="External"/><Relationship Id="rId1" Type="http://schemas.openxmlformats.org/officeDocument/2006/relationships/externalLinkPath" Target="/Users/heather.zhu/AppData/Local/Microsoft/Windows/INetCache/Content.Outlook/5L2W049N/DL%20SP26%20N%20Natori%20Grove%20Comforter%20Commitment%2006%2010%202025%20P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ValueSelect"/>
      <sheetName val="Data"/>
      <sheetName val="Dillards projection"/>
      <sheetName val="PK cost "/>
    </sheetNames>
    <sheetDataSet>
      <sheetData sheetId="0"/>
      <sheetData sheetId="1"/>
      <sheetData sheetId="2"/>
      <sheetData sheetId="3"/>
      <sheetData sheetId="4">
        <row r="11">
          <cell r="M11">
            <v>0.64</v>
          </cell>
          <cell r="AX11">
            <v>152</v>
          </cell>
        </row>
        <row r="12">
          <cell r="M12">
            <v>0.64</v>
          </cell>
          <cell r="AX12">
            <v>152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BF6B3-9333-4D7B-B7E5-D7886C04B588}">
  <dimension ref="A1:BE4"/>
  <sheetViews>
    <sheetView tabSelected="1" workbookViewId="0">
      <selection activeCell="G8" sqref="G8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5" width="7.81640625" style="2" customWidth="1"/>
    <col min="6" max="6" width="8.7265625" style="2" customWidth="1"/>
    <col min="7" max="7" width="9.1796875" style="2" customWidth="1"/>
    <col min="8" max="9" width="9.36328125" style="2" customWidth="1"/>
    <col min="10" max="10" width="8.54296875" style="2" customWidth="1"/>
    <col min="11" max="11" width="7" style="2" customWidth="1"/>
    <col min="12" max="13" width="6.1796875" style="2" customWidth="1"/>
    <col min="14" max="14" width="6.81640625" style="2" customWidth="1"/>
    <col min="15" max="16" width="8.81640625" style="2" customWidth="1"/>
    <col min="17" max="17" width="9.7265625" style="3" customWidth="1"/>
    <col min="18" max="18" width="8" style="4" customWidth="1"/>
    <col min="19" max="19" width="12" style="5" customWidth="1"/>
    <col min="20" max="20" width="8.54296875" style="5" customWidth="1"/>
    <col min="21" max="21" width="8.08984375" style="5" customWidth="1"/>
    <col min="22" max="22" width="9.36328125" style="2" customWidth="1"/>
    <col min="23" max="23" width="8.1796875" style="6" customWidth="1"/>
    <col min="24" max="24" width="8.7265625" style="6" customWidth="1"/>
    <col min="25" max="25" width="7.1796875" style="6" customWidth="1"/>
    <col min="26" max="26" width="9" style="4" customWidth="1"/>
    <col min="27" max="27" width="6.26953125" style="7" customWidth="1"/>
    <col min="28" max="28" width="10" style="4" customWidth="1"/>
    <col min="29" max="29" width="9.81640625" style="7" customWidth="1"/>
    <col min="30" max="30" width="7.81640625" style="2" customWidth="1"/>
    <col min="31" max="31" width="8.90625" style="5" customWidth="1"/>
    <col min="32" max="32" width="7.81640625" style="2" customWidth="1"/>
    <col min="33" max="33" width="8.453125" style="8" customWidth="1"/>
    <col min="34" max="34" width="9" style="5" customWidth="1"/>
    <col min="35" max="35" width="8.36328125" style="5" customWidth="1"/>
    <col min="36" max="36" width="7.90625" style="8" customWidth="1"/>
    <col min="37" max="37" width="5.90625" style="5" customWidth="1"/>
    <col min="38" max="38" width="8.08984375" style="8" customWidth="1"/>
    <col min="39" max="39" width="9.26953125" style="5" customWidth="1"/>
    <col min="40" max="40" width="11.6328125" style="8" customWidth="1"/>
    <col min="41" max="41" width="10.90625" style="5" customWidth="1"/>
    <col min="42" max="42" width="9.6328125" style="2" customWidth="1"/>
    <col min="43" max="43" width="9.6328125" style="8" customWidth="1"/>
    <col min="44" max="44" width="6.453125" style="5" customWidth="1"/>
    <col min="45" max="45" width="9.54296875" style="5" customWidth="1"/>
    <col min="46" max="46" width="8.26953125" style="5" customWidth="1"/>
    <col min="47" max="47" width="7.08984375" style="8" customWidth="1"/>
    <col min="48" max="48" width="7.81640625" style="5" customWidth="1"/>
    <col min="49" max="49" width="9.6328125" style="5" customWidth="1"/>
    <col min="50" max="50" width="7.7265625" style="5" customWidth="1"/>
    <col min="51" max="51" width="12.08984375" style="8" customWidth="1"/>
    <col min="52" max="52" width="12.1796875" style="5" customWidth="1"/>
    <col min="53" max="53" width="9.1796875" style="2" customWidth="1"/>
    <col min="54" max="55" width="9.1796875" style="2"/>
    <col min="56" max="56" width="10.36328125" style="5" customWidth="1"/>
    <col min="57" max="57" width="10.90625" style="5" customWidth="1"/>
    <col min="58" max="16384" width="9.1796875" style="2"/>
  </cols>
  <sheetData>
    <row r="1" spans="1:57" ht="68" customHeight="1" x14ac:dyDescent="0.35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  <c r="H1" s="15" t="s">
        <v>7</v>
      </c>
      <c r="I1" s="16" t="s">
        <v>8</v>
      </c>
      <c r="J1" s="15" t="s">
        <v>9</v>
      </c>
      <c r="K1" s="15" t="s">
        <v>10</v>
      </c>
      <c r="L1" s="15" t="s">
        <v>11</v>
      </c>
      <c r="M1" s="12" t="s">
        <v>12</v>
      </c>
      <c r="N1" s="12" t="s">
        <v>13</v>
      </c>
      <c r="O1" s="12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3" t="s">
        <v>23</v>
      </c>
      <c r="Y1" s="23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11" t="s">
        <v>29</v>
      </c>
      <c r="AE1" s="28" t="s">
        <v>30</v>
      </c>
      <c r="AF1" s="11" t="s">
        <v>31</v>
      </c>
      <c r="AG1" s="29" t="s">
        <v>32</v>
      </c>
      <c r="AH1" s="30" t="s">
        <v>33</v>
      </c>
      <c r="AI1" s="28" t="s">
        <v>34</v>
      </c>
      <c r="AJ1" s="29" t="s">
        <v>35</v>
      </c>
      <c r="AK1" s="28" t="s">
        <v>36</v>
      </c>
      <c r="AL1" s="29" t="s">
        <v>37</v>
      </c>
      <c r="AM1" s="28" t="s">
        <v>38</v>
      </c>
      <c r="AN1" s="29" t="s">
        <v>39</v>
      </c>
      <c r="AO1" s="28" t="s">
        <v>40</v>
      </c>
      <c r="AP1" s="22" t="s">
        <v>41</v>
      </c>
      <c r="AQ1" s="29" t="s">
        <v>42</v>
      </c>
      <c r="AR1" s="28" t="s">
        <v>43</v>
      </c>
      <c r="AS1" s="31" t="s">
        <v>44</v>
      </c>
      <c r="AT1" s="32" t="s">
        <v>45</v>
      </c>
      <c r="AU1" s="28" t="s">
        <v>46</v>
      </c>
      <c r="AV1" s="28" t="s">
        <v>47</v>
      </c>
      <c r="AW1" s="33" t="s">
        <v>48</v>
      </c>
      <c r="AX1" s="34" t="s">
        <v>49</v>
      </c>
      <c r="AY1" s="33" t="s">
        <v>50</v>
      </c>
      <c r="AZ1" s="35" t="s">
        <v>51</v>
      </c>
      <c r="BA1" s="36" t="s">
        <v>52</v>
      </c>
      <c r="BB1" s="36" t="s">
        <v>53</v>
      </c>
      <c r="BC1" s="11" t="s">
        <v>54</v>
      </c>
      <c r="BD1" s="37" t="s">
        <v>55</v>
      </c>
      <c r="BE1" s="37" t="s">
        <v>56</v>
      </c>
    </row>
    <row r="2" spans="1:57" ht="15" customHeight="1" x14ac:dyDescent="0.35">
      <c r="A2" s="38">
        <v>1</v>
      </c>
      <c r="B2" s="39"/>
      <c r="C2" s="39"/>
      <c r="D2" s="39" t="s">
        <v>57</v>
      </c>
      <c r="E2" s="39" t="s">
        <v>58</v>
      </c>
      <c r="F2" s="39" t="s">
        <v>59</v>
      </c>
      <c r="G2" s="39" t="s">
        <v>60</v>
      </c>
      <c r="H2" s="39" t="s">
        <v>61</v>
      </c>
      <c r="I2" s="39" t="s">
        <v>62</v>
      </c>
      <c r="J2" s="39" t="s">
        <v>63</v>
      </c>
      <c r="K2" s="39" t="s">
        <v>64</v>
      </c>
      <c r="L2" s="39" t="s">
        <v>65</v>
      </c>
      <c r="M2" s="39"/>
      <c r="N2" s="39"/>
      <c r="O2" s="39"/>
      <c r="P2" s="39" t="s">
        <v>66</v>
      </c>
      <c r="Q2" s="40"/>
      <c r="R2" s="41"/>
      <c r="S2" s="42"/>
      <c r="T2" s="43">
        <v>26.78</v>
      </c>
      <c r="U2" s="10"/>
      <c r="V2" s="39" t="s">
        <v>67</v>
      </c>
      <c r="W2" s="44">
        <v>56</v>
      </c>
      <c r="X2" s="44">
        <v>53</v>
      </c>
      <c r="Y2" s="44">
        <v>29</v>
      </c>
      <c r="Z2" s="41"/>
      <c r="AA2" s="45">
        <v>1</v>
      </c>
      <c r="AB2" s="46">
        <f>IF(W2="","",W2*X2*Y2/1000000)</f>
        <v>8.6071999999999996E-2</v>
      </c>
      <c r="AC2" s="47">
        <f>IF(AA2="","",65/AB2*AA2)</f>
        <v>755.18170833720615</v>
      </c>
      <c r="AD2" s="39">
        <v>3300</v>
      </c>
      <c r="AE2" s="48">
        <f>IF(ISERROR(AD2/AC2),"",AD2/AC2)</f>
        <v>4.3698092307692304</v>
      </c>
      <c r="AF2" s="39" t="s">
        <v>68</v>
      </c>
      <c r="AG2" s="49">
        <f>4.4%+10%</f>
        <v>0.14400000000000002</v>
      </c>
      <c r="AH2" s="48">
        <f>IF(ISERROR(T2*AG2),"",T2*AG2)</f>
        <v>3.8563200000000006</v>
      </c>
      <c r="AI2" s="48">
        <f t="shared" ref="AI2:AI3" si="0">IF(ISERROR(T2+AE2+AH2),"",T2+AE2+AH2)</f>
        <v>35.006129230769233</v>
      </c>
      <c r="AJ2" s="49">
        <v>0.01</v>
      </c>
      <c r="AK2" s="48">
        <f>IF(ISERROR(AZ2*AJ2),"",AZ2*AJ2)</f>
        <v>0.72</v>
      </c>
      <c r="AL2" s="49">
        <v>0.1</v>
      </c>
      <c r="AM2" s="48">
        <f>IF(ISERROR(AZ2*AL2),"",AZ2*AL2)</f>
        <v>7.2</v>
      </c>
      <c r="AN2" s="49">
        <v>0.1</v>
      </c>
      <c r="AO2" s="48">
        <f>IF(ISERROR(AZ2*AN2),"",AZ2*AN2)</f>
        <v>7.2</v>
      </c>
      <c r="AP2" s="39" t="s">
        <v>69</v>
      </c>
      <c r="AQ2" s="49">
        <v>0.05</v>
      </c>
      <c r="AR2" s="48">
        <f>IF(ISERROR(AZ2*AQ2),"",AZ2*AQ2)</f>
        <v>3.6</v>
      </c>
      <c r="AS2" s="39"/>
      <c r="AT2" s="39"/>
      <c r="AU2" s="50">
        <f>IF(ISERROR(AZ2*AT2),"",AZ2*AT2)</f>
        <v>0</v>
      </c>
      <c r="AV2" s="48">
        <f>IF(ISERROR(AK2+AM2+AO2+AR2+AU2),"",AK2+AM2+AO2+AR2+AU2)</f>
        <v>18.720000000000002</v>
      </c>
      <c r="AW2" s="48">
        <f t="shared" ref="AW2:AW3" si="1">IF(ISERROR(AI2+AV2),"",AI2+AV2)</f>
        <v>53.726129230769232</v>
      </c>
      <c r="AX2" s="51">
        <f>IF(ISERROR((AZ2-AW2)/AZ2),"",(AZ2-AW2)/AZ2)</f>
        <v>0.25380376068376065</v>
      </c>
      <c r="AY2" s="48">
        <f t="shared" ref="AY2:AY3" si="2">IF(ISERROR(BA2*(1-BB2)),"",BA2*(1-BB2))</f>
        <v>71.996399999999994</v>
      </c>
      <c r="AZ2" s="10">
        <v>72</v>
      </c>
      <c r="BA2" s="10">
        <v>199.99</v>
      </c>
      <c r="BB2" s="49">
        <f>'[1]Dillards projection'!M11</f>
        <v>0.64</v>
      </c>
      <c r="BC2" s="9">
        <f>'[1]Dillards projection'!AX11</f>
        <v>152</v>
      </c>
      <c r="BD2" s="48">
        <f>IF(ISERROR(AX2*BC2),"",AW2*BC2)</f>
        <v>8166.3716430769236</v>
      </c>
      <c r="BE2" s="48">
        <f>IF(ISERROR(AZ2*BC2),"",AZ2*BC2)</f>
        <v>10944</v>
      </c>
    </row>
    <row r="3" spans="1:57" ht="15" customHeight="1" x14ac:dyDescent="0.35">
      <c r="A3" s="38">
        <v>2</v>
      </c>
      <c r="B3" s="39"/>
      <c r="C3" s="39"/>
      <c r="D3" s="39" t="s">
        <v>57</v>
      </c>
      <c r="E3" s="39" t="s">
        <v>58</v>
      </c>
      <c r="F3" s="39" t="s">
        <v>59</v>
      </c>
      <c r="G3" s="39" t="s">
        <v>60</v>
      </c>
      <c r="H3" s="39" t="s">
        <v>61</v>
      </c>
      <c r="I3" s="39" t="s">
        <v>62</v>
      </c>
      <c r="J3" s="39" t="s">
        <v>63</v>
      </c>
      <c r="K3" s="39" t="s">
        <v>70</v>
      </c>
      <c r="L3" s="39" t="s">
        <v>65</v>
      </c>
      <c r="M3" s="39"/>
      <c r="N3" s="39"/>
      <c r="O3" s="39"/>
      <c r="P3" s="39" t="s">
        <v>66</v>
      </c>
      <c r="Q3" s="40"/>
      <c r="R3" s="41"/>
      <c r="S3" s="42" t="str">
        <f t="shared" ref="S3" si="3">IF(ISERROR(Q3/R3),"",Q3/R3)</f>
        <v/>
      </c>
      <c r="T3" s="43">
        <v>30.99</v>
      </c>
      <c r="U3" s="10"/>
      <c r="V3" s="39" t="s">
        <v>67</v>
      </c>
      <c r="W3" s="44">
        <v>56</v>
      </c>
      <c r="X3" s="44">
        <v>53</v>
      </c>
      <c r="Y3" s="44">
        <v>31</v>
      </c>
      <c r="Z3" s="41"/>
      <c r="AA3" s="9">
        <v>1</v>
      </c>
      <c r="AB3" s="46">
        <f t="shared" ref="AB3" si="4">IF(W3="","",W3*X3*Y3/1000000)</f>
        <v>9.2008000000000006E-2</v>
      </c>
      <c r="AC3" s="47">
        <f t="shared" ref="AC3" si="5">IF(AA3="","",65/AB3*AA3)</f>
        <v>706.46030779932175</v>
      </c>
      <c r="AD3" s="39">
        <v>3300</v>
      </c>
      <c r="AE3" s="48">
        <f t="shared" ref="AE3" si="6">IF(ISERROR(AD3/AC3),"",AD3/AC3)</f>
        <v>4.6711753846153847</v>
      </c>
      <c r="AF3" s="39" t="s">
        <v>68</v>
      </c>
      <c r="AG3" s="49">
        <f>4.4%+10%</f>
        <v>0.14400000000000002</v>
      </c>
      <c r="AH3" s="48">
        <f>IF(ISERROR(T3*AG3),"",T3*AG3)</f>
        <v>4.4625599999999999</v>
      </c>
      <c r="AI3" s="48">
        <f t="shared" si="0"/>
        <v>40.123735384615387</v>
      </c>
      <c r="AJ3" s="49">
        <v>0.01</v>
      </c>
      <c r="AK3" s="48">
        <f t="shared" ref="AK3" si="7">IF(ISERROR(AZ3*AJ3),"",AZ3*AJ3)</f>
        <v>0.82000000000000006</v>
      </c>
      <c r="AL3" s="49">
        <v>0.1</v>
      </c>
      <c r="AM3" s="48">
        <f t="shared" ref="AM3" si="8">IF(ISERROR(AZ3*AL3),"",AZ3*AL3)</f>
        <v>8.2000000000000011</v>
      </c>
      <c r="AN3" s="49">
        <v>0.1</v>
      </c>
      <c r="AO3" s="48">
        <f t="shared" ref="AO3" si="9">IF(ISERROR(AZ3*AN3),"",AZ3*AN3)</f>
        <v>8.2000000000000011</v>
      </c>
      <c r="AP3" s="39" t="s">
        <v>69</v>
      </c>
      <c r="AQ3" s="49">
        <v>0.05</v>
      </c>
      <c r="AR3" s="48">
        <f t="shared" ref="AR3" si="10">IF(ISERROR(AZ3*AQ3),"",AZ3*AQ3)</f>
        <v>4.1000000000000005</v>
      </c>
      <c r="AS3" s="39"/>
      <c r="AT3" s="10"/>
      <c r="AU3" s="50">
        <f t="shared" ref="AU3" si="11">IF(ISERROR(AZ3*AT3),"",AZ3*AT3)</f>
        <v>0</v>
      </c>
      <c r="AV3" s="48">
        <f t="shared" ref="AV3" si="12">IF(ISERROR(AK3+AM3+AO3+AR3+AU3),"",AK3+AM3+AO3+AR3+AU3)</f>
        <v>21.320000000000004</v>
      </c>
      <c r="AW3" s="48">
        <f t="shared" si="1"/>
        <v>61.443735384615394</v>
      </c>
      <c r="AX3" s="51">
        <f t="shared" ref="AX3" si="13">IF(ISERROR((AZ3-AW3)/AZ3),"",(AZ3-AW3)/AZ3)</f>
        <v>0.25068615384615373</v>
      </c>
      <c r="AY3" s="48">
        <f t="shared" si="2"/>
        <v>82.796400000000006</v>
      </c>
      <c r="AZ3" s="10">
        <v>82</v>
      </c>
      <c r="BA3" s="10">
        <v>229.99</v>
      </c>
      <c r="BB3" s="49">
        <f>'[1]Dillards projection'!M12</f>
        <v>0.64</v>
      </c>
      <c r="BC3" s="9">
        <f>'[1]Dillards projection'!AX12</f>
        <v>152</v>
      </c>
      <c r="BD3" s="48">
        <f t="shared" ref="BD3" si="14">IF(ISERROR(AX3*BC3),"",AW3*BC3)</f>
        <v>9339.4477784615392</v>
      </c>
      <c r="BE3" s="48">
        <f t="shared" ref="BE3" si="15">IF(ISERROR(AZ3*BC3),"",AZ3*BC3)</f>
        <v>12464</v>
      </c>
    </row>
    <row r="4" spans="1:57" x14ac:dyDescent="0.35">
      <c r="AX4" s="8"/>
      <c r="AY4" s="5"/>
      <c r="BA4" s="5"/>
      <c r="BB4" s="8"/>
      <c r="BC4" s="7"/>
    </row>
  </sheetData>
  <sheetProtection insertRows="0" deleteRows="0" sort="0"/>
  <protectedRanges>
    <protectedRange sqref="A5:AZ249 A2:AR4 BA2:BC4 AV2:AY4" name="Range1"/>
    <protectedRange sqref="AU2:AU3" name="Range1_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2025-06-12T18:01:49Z</dcterms:created>
  <dcterms:modified xsi:type="dcterms:W3CDTF">2025-06-12T18:03:42Z</dcterms:modified>
</cp:coreProperties>
</file>