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C21311C-8224-4876-B02E-1A28D4F32416}" xr6:coauthVersionLast="47" xr6:coauthVersionMax="47" xr10:uidLastSave="{00000000-0000-0000-0000-000000000000}"/>
  <bookViews>
    <workbookView xWindow="-110" yWindow="-110" windowWidth="19420" windowHeight="10300" xr2:uid="{3C334D2F-01AF-4FD2-A407-E57475D5D74A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6" i="1" l="1"/>
  <c r="AW6" i="1"/>
  <c r="AU6" i="1"/>
  <c r="AX6" i="1" s="1"/>
  <c r="AP6" i="1"/>
  <c r="AM6" i="1"/>
  <c r="AI6" i="1"/>
  <c r="AG6" i="1"/>
  <c r="AD6" i="1"/>
  <c r="W6" i="1"/>
  <c r="Y6" i="1" s="1"/>
  <c r="AA6" i="1" s="1"/>
  <c r="AE6" i="1" s="1"/>
  <c r="BA5" i="1"/>
  <c r="AW5" i="1"/>
  <c r="AU5" i="1"/>
  <c r="AX5" i="1" s="1"/>
  <c r="AP5" i="1"/>
  <c r="AM5" i="1"/>
  <c r="AI5" i="1"/>
  <c r="AG5" i="1"/>
  <c r="AD5" i="1"/>
  <c r="W5" i="1"/>
  <c r="Y5" i="1" s="1"/>
  <c r="AA5" i="1" s="1"/>
  <c r="AE5" i="1" s="1"/>
  <c r="BA4" i="1"/>
  <c r="AW4" i="1"/>
  <c r="AU4" i="1"/>
  <c r="AK4" i="1" s="1"/>
  <c r="AP4" i="1"/>
  <c r="AM4" i="1"/>
  <c r="AI4" i="1"/>
  <c r="AG4" i="1"/>
  <c r="AD4" i="1"/>
  <c r="W4" i="1"/>
  <c r="Y4" i="1" s="1"/>
  <c r="AA4" i="1" s="1"/>
  <c r="BA3" i="1"/>
  <c r="AW3" i="1"/>
  <c r="AU3" i="1"/>
  <c r="AK3" i="1" s="1"/>
  <c r="AP3" i="1"/>
  <c r="AM3" i="1"/>
  <c r="AI3" i="1"/>
  <c r="AG3" i="1"/>
  <c r="AD3" i="1"/>
  <c r="W3" i="1"/>
  <c r="Y3" i="1" s="1"/>
  <c r="AA3" i="1" s="1"/>
  <c r="AE3" i="1" s="1"/>
  <c r="BA2" i="1"/>
  <c r="AW2" i="1"/>
  <c r="AU2" i="1"/>
  <c r="AX2" i="1" s="1"/>
  <c r="AP2" i="1"/>
  <c r="AM2" i="1"/>
  <c r="AI2" i="1"/>
  <c r="AG2" i="1"/>
  <c r="AD2" i="1"/>
  <c r="W2" i="1"/>
  <c r="Y2" i="1" s="1"/>
  <c r="AA2" i="1" s="1"/>
  <c r="AK2" i="1" l="1"/>
  <c r="AQ2" i="1" s="1"/>
  <c r="AK5" i="1"/>
  <c r="AK6" i="1"/>
  <c r="AE4" i="1"/>
  <c r="AQ5" i="1"/>
  <c r="AR5" i="1" s="1"/>
  <c r="AX3" i="1"/>
  <c r="AQ4" i="1"/>
  <c r="AR4" i="1" s="1"/>
  <c r="AQ3" i="1"/>
  <c r="AR3" i="1" s="1"/>
  <c r="AE2" i="1"/>
  <c r="AQ6" i="1"/>
  <c r="AR6" i="1" s="1"/>
  <c r="AX4" i="1"/>
  <c r="AS4" i="1" l="1"/>
  <c r="AZ4" i="1"/>
  <c r="AR2" i="1"/>
  <c r="AS3" i="1"/>
  <c r="AZ3" i="1"/>
  <c r="AS6" i="1"/>
  <c r="AZ6" i="1"/>
  <c r="AZ5" i="1"/>
  <c r="AS5" i="1"/>
  <c r="AZ2" i="1"/>
  <c r="A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B9EBFC10-AD28-46EB-89BE-BEC8BF2570B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4187974B-968A-4C0C-8EE2-9975855DF84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D8280330-5038-46E7-9417-8ACE55CC159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4D7C3E77-7178-4BDE-BC77-B1992AF92FBA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0E7BF84D-F3E3-41A4-9727-5F457807923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40A50CD4-0344-4517-B452-0F134ACC5B13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DB3A7DC4-F75D-4A26-9CB2-EDC13BC503F3}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 xr:uid="{013BFB5D-247B-4E4C-A1FD-60D051420495}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 xr:uid="{0BF5149D-22B6-4098-8802-C773F3014189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8EDA5C62-3D0B-413D-8865-EFF083FB6255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E1D96915-F428-4B82-B57F-93FB301AF591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 xr:uid="{7855B68B-A725-4ACA-97AF-6A7B5C1E50D1}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 xr:uid="{B9174337-6889-40E1-8449-8CD0C82AA142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 xr:uid="{02104945-605F-4A70-8367-02B4E572B497}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 xr:uid="{6B489611-AB47-42D5-A2AD-0675FEF552CC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 xr:uid="{E1A4A2D1-B74A-45B8-8864-7EBA322941CC}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 xr:uid="{0D08E78E-261F-4821-9BDD-3C36214E0221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1D7748C1-84DC-4DC8-9293-B23CAA678D9F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<sst xmlns="http://schemas.openxmlformats.org/spreadsheetml/2006/main" count="119" uniqueCount="74">
  <si>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</si>
  <si>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</si>
  <si>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</si>
  <si>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</si>
  <si>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</si>
  <si>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</si>
  <si>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</si>
  <si>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</si>
  <si>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</si>
  <si>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</si>
  <si>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</si>
  <si>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</si>
  <si>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</si>
  <si>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</si>
  <si>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</si>
  <si>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</si>
  <si>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</si>
  <si>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</si>
  <si>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</si>
  <si>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</si>
  <si>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</si>
  <si>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</si>
  <si>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</si>
  <si>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</si>
  <si>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</si>
  <si>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</si>
  <si>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</si>
  <si>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</si>
  <si>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</si>
  <si>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</si>
  <si>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</si>
  <si>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</si>
  <si>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</si>
  <si>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</si>
  <si>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</si>
  <si>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</si>
  <si>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</si>
  <si>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</si>
  <si>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</si>
  <si>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</si>
  <si>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</si>
  <si>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</si>
  <si>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</si>
  <si>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</si>
  <si>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</si>
  <si>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</si>
  <si>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</si>
  <si>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</si>
  <si>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</si>
  <si>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</si>
  <si>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</si>
  <si>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</si>
  <si>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</si>
  <si>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MOQ</t>
  </si>
  <si>
    <t>Madison Park</t>
  </si>
  <si>
    <t>Roan Border</t>
    <phoneticPr fontId="7" type="noConversion"/>
  </si>
  <si>
    <t>Roan Border Bath Towel Set</t>
    <phoneticPr fontId="7" type="noConversion"/>
  </si>
  <si>
    <t>100% Cotton Solid Dyed Dobby  Terry Towel
Pile: 2/20 Combed
Ground: 2/20 
Weft: 1/12 + 2/20 Vay Dyed 
600 gsm</t>
    <phoneticPr fontId="7" type="noConversion"/>
  </si>
  <si>
    <t>6 pieces set-27x54''(2)
16x28''(2)
13x13''(2)</t>
    <phoneticPr fontId="7" type="noConversion"/>
  </si>
  <si>
    <t xml:space="preserve">White &amp; White </t>
    <phoneticPr fontId="7" type="noConversion"/>
  </si>
  <si>
    <t>Set</t>
    <phoneticPr fontId="7" type="noConversion"/>
  </si>
  <si>
    <t>Normal</t>
  </si>
  <si>
    <t>6302.60.0020</t>
  </si>
  <si>
    <t>Marketing</t>
  </si>
  <si>
    <t>370 sets/color</t>
  </si>
  <si>
    <t>White &amp; Beige</t>
    <phoneticPr fontId="7" type="noConversion"/>
  </si>
  <si>
    <t>6302.60.0021</t>
  </si>
  <si>
    <t>White &amp; Seafoam</t>
    <phoneticPr fontId="7" type="noConversion"/>
  </si>
  <si>
    <t>6302.60.0022</t>
  </si>
  <si>
    <t>White &amp; Silver</t>
    <phoneticPr fontId="7" type="noConversion"/>
  </si>
  <si>
    <t>6302.60.0023</t>
  </si>
  <si>
    <t>White &amp; Aqua</t>
    <phoneticPr fontId="7" type="noConversion"/>
  </si>
  <si>
    <t>6302.60.0024</t>
  </si>
  <si>
    <t>FASHION 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</si>
</sst>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.00;\-[$$-409]#,##0.00"/>
    <numFmt numFmtId="166" formatCode="[$-409]dd/mmm/yy;@"/>
    <numFmt numFmtId="167" formatCode="0.0%"/>
  </numFmts>
  <fonts count="9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6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2" fontId="0" fillId="7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1" fontId="0" fillId="7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7" fillId="0" borderId="2" xfId="3" applyFon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" fillId="7" borderId="2" xfId="1" applyNumberForma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10" fontId="0" fillId="7" borderId="2" xfId="4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5">
    <cellStyle name="Normal" xfId="0" builtinId="0"/>
    <cellStyle name="Normal 2" xfId="1" xr:uid="{C449E8D3-8509-424F-829D-C0F2C0779588}"/>
    <cellStyle name="Normal 2 18 2" xfId="2" xr:uid="{71FDE41F-482D-459E-883A-A309B7010B1F}"/>
    <cellStyle name="Percent 2" xfId="4" xr:uid="{B014AE4B-9AC0-478A-AC7D-26F23254648A}"/>
    <cellStyle name="Style 1" xfId="3" xr:uid="{66FF665C-FB30-4AB5-816F-1B716D4AB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2025%20Bath%20JLA%20Ecom-MP%20Roan%20Border%20Bath%20Towel%20commitment%20--%2020250604.xlsx" TargetMode="External"/><Relationship Id="rId1" Type="http://schemas.openxmlformats.org/officeDocument/2006/relationships/externalLinkPath" Target="/Users/heather.zhu/AppData/Local/Microsoft/Windows/INetCache/Content.Outlook/5L2W049N/2025%20Bath%20JLA%20Ecom-MP%20Roan%20Border%20Bath%20Towel%20commitment%20--%20202506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Amazon"/>
      <sheetName val="Ecom standard quote"/>
      <sheetName val="Beyond"/>
      <sheetName val="Macys"/>
      <sheetName val="Wayfair"/>
      <sheetName val="Target"/>
      <sheetName val="Kohl's"/>
      <sheetName val="JCPenny"/>
      <sheetName val="India 03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025F-522F-4339-935C-E41235998017}">
  <sheetPr>
    <tabColor rgb="FFFFFF00"/>
  </sheetPr>
  <dimension ref="A1:BB7"/>
  <sheetViews>
    <sheetView tabSelected="1" zoomScale="99" zoomScaleNormal="99" workbookViewId="0">
      <selection activeCell="D18" sqref="D18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17.54296875" style="2" customWidth="1"/>
    <col min="5" max="5" width="17" style="2" customWidth="1"/>
    <col min="6" max="6" width="15.54296875" style="2" customWidth="1"/>
    <col min="7" max="7" width="11.453125" style="2" customWidth="1"/>
    <col min="8" max="8" width="27.26953125" style="2" customWidth="1"/>
    <col min="9" max="9" width="26.26953125" style="2" customWidth="1"/>
    <col min="10" max="10" width="42" style="2" customWidth="1"/>
    <col min="11" max="11" width="19.7265625" style="2" customWidth="1"/>
    <col min="12" max="12" width="15.81640625" style="2" customWidth="1"/>
    <col min="13" max="13" width="10.1796875" style="2" customWidth="1"/>
    <col min="14" max="15" width="8.81640625" style="2" customWidth="1"/>
    <col min="16" max="16" width="8.54296875" style="4" customWidth="1"/>
    <col min="17" max="17" width="9.453125" style="2" customWidth="1"/>
    <col min="18" max="18" width="8.1796875" style="50" customWidth="1"/>
    <col min="19" max="19" width="8.7265625" style="50" customWidth="1"/>
    <col min="20" max="20" width="7.1796875" style="50" customWidth="1"/>
    <col min="21" max="21" width="9" style="50" customWidth="1"/>
    <col min="22" max="22" width="6.26953125" style="51" customWidth="1"/>
    <col min="23" max="24" width="10" style="50" customWidth="1"/>
    <col min="25" max="25" width="9.81640625" style="51" customWidth="1"/>
    <col min="26" max="26" width="7.81640625" style="2" customWidth="1"/>
    <col min="27" max="27" width="8.81640625" style="4" customWidth="1"/>
    <col min="28" max="28" width="11.81640625" style="2" customWidth="1"/>
    <col min="29" max="29" width="8.453125" style="3" customWidth="1"/>
    <col min="30" max="30" width="9" style="4" customWidth="1"/>
    <col min="31" max="31" width="8.453125" style="4" customWidth="1"/>
    <col min="32" max="32" width="7.81640625" style="3" customWidth="1"/>
    <col min="33" max="33" width="5.81640625" style="4" customWidth="1"/>
    <col min="34" max="34" width="11.54296875" style="3" customWidth="1"/>
    <col min="35" max="37" width="10.81640625" style="4" customWidth="1"/>
    <col min="38" max="38" width="11.54296875" style="3" customWidth="1"/>
    <col min="39" max="39" width="10.81640625" style="4" customWidth="1"/>
    <col min="40" max="40" width="7.81640625" style="4" customWidth="1"/>
    <col min="41" max="41" width="8.1796875" style="3" customWidth="1"/>
    <col min="42" max="42" width="9.26953125" style="4" customWidth="1"/>
    <col min="43" max="43" width="7.81640625" style="4" customWidth="1"/>
    <col min="44" max="44" width="9.54296875" style="4" customWidth="1"/>
    <col min="45" max="45" width="7.7265625" style="4" customWidth="1"/>
    <col min="46" max="47" width="12.1796875" style="4" customWidth="1"/>
    <col min="48" max="48" width="9.1796875" style="2" customWidth="1"/>
    <col min="49" max="50" width="12.7265625" style="2" customWidth="1"/>
    <col min="51" max="51" width="9.1796875" style="2"/>
    <col min="52" max="52" width="11.54296875" style="4" customWidth="1"/>
    <col min="53" max="53" width="10.1796875" style="4" customWidth="1"/>
    <col min="54" max="16384" width="9.1796875" style="2"/>
  </cols>
  <sheetData>
    <row r="1" spans="1:54" ht="68.150000000000006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21" t="s">
        <v>35</v>
      </c>
      <c r="AK1" s="18" t="s">
        <v>36</v>
      </c>
      <c r="AL1" s="19" t="s">
        <v>37</v>
      </c>
      <c r="AM1" s="18" t="s">
        <v>38</v>
      </c>
      <c r="AN1" s="21" t="s">
        <v>39</v>
      </c>
      <c r="AO1" s="19" t="s">
        <v>40</v>
      </c>
      <c r="AP1" s="18" t="s">
        <v>41</v>
      </c>
      <c r="AQ1" s="18" t="s">
        <v>42</v>
      </c>
      <c r="AR1" s="22" t="s">
        <v>43</v>
      </c>
      <c r="AS1" s="23" t="s">
        <v>44</v>
      </c>
      <c r="AT1" s="24" t="s">
        <v>45</v>
      </c>
      <c r="AU1" s="23" t="s">
        <v>46</v>
      </c>
      <c r="AV1" s="25" t="s">
        <v>47</v>
      </c>
      <c r="AW1" s="23" t="s">
        <v>48</v>
      </c>
      <c r="AX1" s="23" t="s">
        <v>49</v>
      </c>
      <c r="AY1" s="5" t="s">
        <v>50</v>
      </c>
      <c r="AZ1" s="18" t="s">
        <v>51</v>
      </c>
      <c r="BA1" s="18" t="s">
        <v>52</v>
      </c>
      <c r="BB1" s="2" t="s">
        <v>53</v>
      </c>
    </row>
    <row r="2" spans="1:54" s="47" customFormat="1" ht="30" customHeight="1" x14ac:dyDescent="0.35">
      <c r="A2" s="26">
        <v>1</v>
      </c>
      <c r="B2" s="27"/>
      <c r="C2" s="27"/>
      <c r="D2" s="27" t="s">
        <v>54</v>
      </c>
      <c r="E2" s="27"/>
      <c r="F2" s="27" t="s">
        <v>73</v>
      </c>
      <c r="G2" s="28" t="s">
        <v>55</v>
      </c>
      <c r="H2" s="28" t="s">
        <v>56</v>
      </c>
      <c r="I2" s="28" t="s">
        <v>56</v>
      </c>
      <c r="J2" s="29" t="s">
        <v>57</v>
      </c>
      <c r="K2" s="30" t="s">
        <v>58</v>
      </c>
      <c r="L2" s="31" t="s">
        <v>59</v>
      </c>
      <c r="M2" s="27"/>
      <c r="N2" s="27"/>
      <c r="O2" s="31" t="s">
        <v>60</v>
      </c>
      <c r="P2" s="32">
        <v>8.27</v>
      </c>
      <c r="Q2" s="27" t="s">
        <v>61</v>
      </c>
      <c r="R2" s="33">
        <v>37.1</v>
      </c>
      <c r="S2" s="33">
        <v>53.3</v>
      </c>
      <c r="T2" s="33">
        <v>30.5</v>
      </c>
      <c r="U2" s="33"/>
      <c r="V2" s="33">
        <v>4</v>
      </c>
      <c r="W2" s="34">
        <f>IF(R2="","",R2*S2*T2/1000000)</f>
        <v>6.0311615000000006E-2</v>
      </c>
      <c r="X2" s="35">
        <v>56</v>
      </c>
      <c r="Y2" s="36">
        <f>IF(V2="","",X2/W2*V2)</f>
        <v>3714.0441356113574</v>
      </c>
      <c r="Z2" s="37">
        <v>3200</v>
      </c>
      <c r="AA2" s="38">
        <f>IF(ISERROR(Z2/Y2),"",Z2/Y2)</f>
        <v>0.86159450000000004</v>
      </c>
      <c r="AB2" s="39" t="s">
        <v>62</v>
      </c>
      <c r="AC2" s="40">
        <v>0.191</v>
      </c>
      <c r="AD2" s="38">
        <f t="shared" ref="AD2:AD6" si="0">IF(ISERROR(P2*AC2),"",P2*AC2)</f>
        <v>1.5795699999999999</v>
      </c>
      <c r="AE2" s="38">
        <f t="shared" ref="AE2:AE6" si="1">IF(ISERROR(P2+AA2+AD2),"",P2+AA2+AD2)</f>
        <v>10.711164500000001</v>
      </c>
      <c r="AF2" s="41">
        <v>0.05</v>
      </c>
      <c r="AG2" s="38">
        <f t="shared" ref="AG2:AG6" si="2">IF(ISERROR(AT2*AF2),"",AT2*AF2)</f>
        <v>1.1813358302122345</v>
      </c>
      <c r="AH2" s="41">
        <v>0.1</v>
      </c>
      <c r="AI2" s="38">
        <f>IF(ISERROR(AT2*AH2),"",AT2*AH2)</f>
        <v>2.3626716604244691</v>
      </c>
      <c r="AJ2" s="42">
        <v>2.5</v>
      </c>
      <c r="AK2" s="43">
        <f>IF((AU2-AT2)&lt;AJ2,AJ2-(AU2-AT2),0)</f>
        <v>1.3186641697877661</v>
      </c>
      <c r="AL2" s="41">
        <v>0.1</v>
      </c>
      <c r="AM2" s="38">
        <f t="shared" ref="AM2:AM6" si="3">IF(ISERROR(AT2*AL2),"",AT2*AL2)</f>
        <v>2.3626716604244691</v>
      </c>
      <c r="AN2" s="44" t="s">
        <v>63</v>
      </c>
      <c r="AO2" s="41">
        <v>0.1</v>
      </c>
      <c r="AP2" s="38">
        <f t="shared" ref="AP2:AP6" si="4">IF(ISERROR(AT2*AO2),"",AT2*AO2)</f>
        <v>2.3626716604244691</v>
      </c>
      <c r="AQ2" s="38">
        <f t="shared" ref="AQ2:AQ6" si="5">IF(ISERROR(AG2+AI2+AK2+AM2+AP2),"",AG2+AI2+AK2+AM2+AP2)</f>
        <v>9.5880149812734086</v>
      </c>
      <c r="AR2" s="38">
        <f t="shared" ref="AR2:AR6" si="6">IF(ISERROR(AE2+AQ2),"",AE2+AQ2)</f>
        <v>20.299179481273409</v>
      </c>
      <c r="AS2" s="45">
        <f t="shared" ref="AS2:AS6" si="7">IF(ISERROR((AT2-AR2)/AT2),"",(AT2-AR2)/AT2)</f>
        <v>0.14083789883751638</v>
      </c>
      <c r="AT2" s="42">
        <v>23.626716604244692</v>
      </c>
      <c r="AU2" s="46">
        <f>IF(ISERROR(AT2*1.05),"",AT2*1.05)</f>
        <v>24.808052434456926</v>
      </c>
      <c r="AV2" s="42">
        <v>52.99</v>
      </c>
      <c r="AW2" s="45">
        <f>IF(ISERROR((AV2-AT2)/AV2),"",(AV2-AT2)/AV2)</f>
        <v>0.55412876761191376</v>
      </c>
      <c r="AX2" s="45">
        <f>IF(ISERROR((AV2-AU2*1.07)/AV2),"",(AV2-AU2*1.07)/AV2)</f>
        <v>0.49906367041198507</v>
      </c>
      <c r="AY2" s="33"/>
      <c r="AZ2" s="38">
        <f>IF(ISERROR(AR2*AY2),"",AR2*AY2)</f>
        <v>0</v>
      </c>
      <c r="BA2" s="38">
        <f>IF(ISERROR(AT2*AY2),"",AT2*AY2)</f>
        <v>0</v>
      </c>
      <c r="BB2" s="47" t="s">
        <v>64</v>
      </c>
    </row>
    <row r="3" spans="1:54" s="47" customFormat="1" ht="30" customHeight="1" x14ac:dyDescent="0.35">
      <c r="A3" s="26">
        <v>2</v>
      </c>
      <c r="B3" s="27"/>
      <c r="C3" s="27"/>
      <c r="D3" s="27" t="s">
        <v>54</v>
      </c>
      <c r="E3" s="27"/>
      <c r="F3" s="27" t="s">
        <v>73</v>
      </c>
      <c r="G3" s="28" t="s">
        <v>55</v>
      </c>
      <c r="H3" s="28" t="s">
        <v>56</v>
      </c>
      <c r="I3" s="28" t="s">
        <v>56</v>
      </c>
      <c r="J3" s="29" t="s">
        <v>57</v>
      </c>
      <c r="K3" s="30" t="s">
        <v>58</v>
      </c>
      <c r="L3" s="31" t="s">
        <v>65</v>
      </c>
      <c r="M3" s="27"/>
      <c r="N3" s="27"/>
      <c r="O3" s="31" t="s">
        <v>60</v>
      </c>
      <c r="P3" s="32">
        <v>8.27</v>
      </c>
      <c r="Q3" s="27" t="s">
        <v>61</v>
      </c>
      <c r="R3" s="33">
        <v>37.1</v>
      </c>
      <c r="S3" s="33">
        <v>53.3</v>
      </c>
      <c r="T3" s="33">
        <v>30.5</v>
      </c>
      <c r="U3" s="35"/>
      <c r="V3" s="33">
        <v>4</v>
      </c>
      <c r="W3" s="34">
        <f t="shared" ref="W3:W5" si="8">IF(R3="","",R3*S3*T3/1000000)</f>
        <v>6.0311615000000006E-2</v>
      </c>
      <c r="X3" s="35">
        <v>56</v>
      </c>
      <c r="Y3" s="36">
        <f t="shared" ref="Y3:Y5" si="9">IF(V3="","",X3/W3*V3)</f>
        <v>3714.0441356113574</v>
      </c>
      <c r="Z3" s="37">
        <v>3200</v>
      </c>
      <c r="AA3" s="38">
        <f t="shared" ref="AA3:AA5" si="10">IF(ISERROR(Z3/Y3),"",Z3/Y3)</f>
        <v>0.86159450000000004</v>
      </c>
      <c r="AB3" s="39" t="s">
        <v>66</v>
      </c>
      <c r="AC3" s="40">
        <v>0.191</v>
      </c>
      <c r="AD3" s="38">
        <f t="shared" si="0"/>
        <v>1.5795699999999999</v>
      </c>
      <c r="AE3" s="38">
        <f t="shared" si="1"/>
        <v>10.711164500000001</v>
      </c>
      <c r="AF3" s="41">
        <v>0.05</v>
      </c>
      <c r="AG3" s="38">
        <f t="shared" si="2"/>
        <v>1.1813358302122345</v>
      </c>
      <c r="AH3" s="41">
        <v>0.1</v>
      </c>
      <c r="AI3" s="38">
        <f t="shared" ref="AI3:AI5" si="11">IF(ISERROR(AT3*AH3),"",AT3*AH3)</f>
        <v>2.3626716604244691</v>
      </c>
      <c r="AJ3" s="42">
        <v>2.5</v>
      </c>
      <c r="AK3" s="43">
        <f t="shared" ref="AK3:AK5" si="12">IF((AU3-AT3)&lt;AJ3,AJ3-(AU3-AT3),0)</f>
        <v>1.3186641697877661</v>
      </c>
      <c r="AL3" s="41">
        <v>0.1</v>
      </c>
      <c r="AM3" s="38">
        <f t="shared" si="3"/>
        <v>2.3626716604244691</v>
      </c>
      <c r="AN3" s="44" t="s">
        <v>63</v>
      </c>
      <c r="AO3" s="41">
        <v>0.1</v>
      </c>
      <c r="AP3" s="38">
        <f t="shared" si="4"/>
        <v>2.3626716604244691</v>
      </c>
      <c r="AQ3" s="38">
        <f t="shared" si="5"/>
        <v>9.5880149812734086</v>
      </c>
      <c r="AR3" s="38">
        <f t="shared" si="6"/>
        <v>20.299179481273409</v>
      </c>
      <c r="AS3" s="45">
        <f t="shared" si="7"/>
        <v>0.14083789883751638</v>
      </c>
      <c r="AT3" s="42">
        <v>23.626716604244692</v>
      </c>
      <c r="AU3" s="46">
        <f t="shared" ref="AU3:AU5" si="13">IF(ISERROR(AT3*1.05),"",AT3*1.05)</f>
        <v>24.808052434456926</v>
      </c>
      <c r="AV3" s="42">
        <v>52.99</v>
      </c>
      <c r="AW3" s="45">
        <f t="shared" ref="AW3:AW5" si="14">IF(ISERROR((AV3-AT3)/AV3),"",(AV3-AT3)/AV3)</f>
        <v>0.55412876761191376</v>
      </c>
      <c r="AX3" s="45">
        <f t="shared" ref="AX3:AX5" si="15">IF(ISERROR((AV3-AU3*1.07)/AV3),"",(AV3-AU3*1.07)/AV3)</f>
        <v>0.49906367041198507</v>
      </c>
      <c r="AY3" s="33"/>
      <c r="AZ3" s="38">
        <f t="shared" ref="AZ3:AZ5" si="16">IF(ISERROR(AR3*AY3),"",AR3*AY3)</f>
        <v>0</v>
      </c>
      <c r="BA3" s="38">
        <f t="shared" ref="BA3:BA5" si="17">IF(ISERROR(AT3*AY3),"",AT3*AY3)</f>
        <v>0</v>
      </c>
      <c r="BB3" s="47" t="s">
        <v>64</v>
      </c>
    </row>
    <row r="4" spans="1:54" s="47" customFormat="1" ht="30" customHeight="1" x14ac:dyDescent="0.35">
      <c r="A4" s="26">
        <v>3</v>
      </c>
      <c r="B4" s="27"/>
      <c r="C4" s="27"/>
      <c r="D4" s="27" t="s">
        <v>54</v>
      </c>
      <c r="E4" s="27"/>
      <c r="F4" s="27" t="s">
        <v>73</v>
      </c>
      <c r="G4" s="28" t="s">
        <v>55</v>
      </c>
      <c r="H4" s="28" t="s">
        <v>56</v>
      </c>
      <c r="I4" s="28" t="s">
        <v>56</v>
      </c>
      <c r="J4" s="29" t="s">
        <v>57</v>
      </c>
      <c r="K4" s="30" t="s">
        <v>58</v>
      </c>
      <c r="L4" s="31" t="s">
        <v>67</v>
      </c>
      <c r="M4" s="27"/>
      <c r="N4" s="27"/>
      <c r="O4" s="31" t="s">
        <v>60</v>
      </c>
      <c r="P4" s="32">
        <v>8.27</v>
      </c>
      <c r="Q4" s="27" t="s">
        <v>61</v>
      </c>
      <c r="R4" s="33">
        <v>37.1</v>
      </c>
      <c r="S4" s="33">
        <v>53.3</v>
      </c>
      <c r="T4" s="33">
        <v>30.5</v>
      </c>
      <c r="U4" s="35"/>
      <c r="V4" s="33">
        <v>4</v>
      </c>
      <c r="W4" s="34">
        <f t="shared" si="8"/>
        <v>6.0311615000000006E-2</v>
      </c>
      <c r="X4" s="35">
        <v>56</v>
      </c>
      <c r="Y4" s="36">
        <f t="shared" si="9"/>
        <v>3714.0441356113574</v>
      </c>
      <c r="Z4" s="37">
        <v>3200</v>
      </c>
      <c r="AA4" s="38">
        <f t="shared" si="10"/>
        <v>0.86159450000000004</v>
      </c>
      <c r="AB4" s="39" t="s">
        <v>68</v>
      </c>
      <c r="AC4" s="40">
        <v>0.191</v>
      </c>
      <c r="AD4" s="38">
        <f t="shared" si="0"/>
        <v>1.5795699999999999</v>
      </c>
      <c r="AE4" s="38">
        <f t="shared" si="1"/>
        <v>10.711164500000001</v>
      </c>
      <c r="AF4" s="41">
        <v>0.05</v>
      </c>
      <c r="AG4" s="38">
        <f t="shared" si="2"/>
        <v>1.1813358302122345</v>
      </c>
      <c r="AH4" s="41">
        <v>0.1</v>
      </c>
      <c r="AI4" s="38">
        <f t="shared" si="11"/>
        <v>2.3626716604244691</v>
      </c>
      <c r="AJ4" s="42">
        <v>2.5</v>
      </c>
      <c r="AK4" s="43">
        <f t="shared" si="12"/>
        <v>1.3186641697877661</v>
      </c>
      <c r="AL4" s="41">
        <v>0.1</v>
      </c>
      <c r="AM4" s="38">
        <f t="shared" si="3"/>
        <v>2.3626716604244691</v>
      </c>
      <c r="AN4" s="44" t="s">
        <v>63</v>
      </c>
      <c r="AO4" s="41">
        <v>0.1</v>
      </c>
      <c r="AP4" s="38">
        <f t="shared" si="4"/>
        <v>2.3626716604244691</v>
      </c>
      <c r="AQ4" s="38">
        <f t="shared" si="5"/>
        <v>9.5880149812734086</v>
      </c>
      <c r="AR4" s="38">
        <f t="shared" si="6"/>
        <v>20.299179481273409</v>
      </c>
      <c r="AS4" s="45">
        <f t="shared" si="7"/>
        <v>0.14083789883751638</v>
      </c>
      <c r="AT4" s="42">
        <v>23.626716604244692</v>
      </c>
      <c r="AU4" s="46">
        <f t="shared" si="13"/>
        <v>24.808052434456926</v>
      </c>
      <c r="AV4" s="42">
        <v>52.99</v>
      </c>
      <c r="AW4" s="45">
        <f t="shared" si="14"/>
        <v>0.55412876761191376</v>
      </c>
      <c r="AX4" s="45">
        <f t="shared" si="15"/>
        <v>0.49906367041198507</v>
      </c>
      <c r="AY4" s="33"/>
      <c r="AZ4" s="38">
        <f t="shared" si="16"/>
        <v>0</v>
      </c>
      <c r="BA4" s="38">
        <f t="shared" si="17"/>
        <v>0</v>
      </c>
      <c r="BB4" s="47" t="s">
        <v>64</v>
      </c>
    </row>
    <row r="5" spans="1:54" s="47" customFormat="1" ht="30" customHeight="1" x14ac:dyDescent="0.35">
      <c r="A5" s="26">
        <v>4</v>
      </c>
      <c r="B5" s="27"/>
      <c r="C5" s="27"/>
      <c r="D5" s="27" t="s">
        <v>54</v>
      </c>
      <c r="E5" s="27"/>
      <c r="F5" s="27" t="s">
        <v>73</v>
      </c>
      <c r="G5" s="28" t="s">
        <v>55</v>
      </c>
      <c r="H5" s="28" t="s">
        <v>56</v>
      </c>
      <c r="I5" s="28" t="s">
        <v>56</v>
      </c>
      <c r="J5" s="29" t="s">
        <v>57</v>
      </c>
      <c r="K5" s="30" t="s">
        <v>58</v>
      </c>
      <c r="L5" s="31" t="s">
        <v>69</v>
      </c>
      <c r="M5" s="27"/>
      <c r="N5" s="27"/>
      <c r="O5" s="31" t="s">
        <v>60</v>
      </c>
      <c r="P5" s="32">
        <v>8.27</v>
      </c>
      <c r="Q5" s="27" t="s">
        <v>61</v>
      </c>
      <c r="R5" s="33">
        <v>37.1</v>
      </c>
      <c r="S5" s="33">
        <v>53.3</v>
      </c>
      <c r="T5" s="33">
        <v>30.5</v>
      </c>
      <c r="U5" s="35"/>
      <c r="V5" s="33">
        <v>4</v>
      </c>
      <c r="W5" s="34">
        <f t="shared" si="8"/>
        <v>6.0311615000000006E-2</v>
      </c>
      <c r="X5" s="35">
        <v>56</v>
      </c>
      <c r="Y5" s="36">
        <f t="shared" si="9"/>
        <v>3714.0441356113574</v>
      </c>
      <c r="Z5" s="37">
        <v>3200</v>
      </c>
      <c r="AA5" s="38">
        <f t="shared" si="10"/>
        <v>0.86159450000000004</v>
      </c>
      <c r="AB5" s="39" t="s">
        <v>70</v>
      </c>
      <c r="AC5" s="40">
        <v>0.191</v>
      </c>
      <c r="AD5" s="38">
        <f t="shared" si="0"/>
        <v>1.5795699999999999</v>
      </c>
      <c r="AE5" s="38">
        <f t="shared" si="1"/>
        <v>10.711164500000001</v>
      </c>
      <c r="AF5" s="41">
        <v>0.05</v>
      </c>
      <c r="AG5" s="38">
        <f t="shared" si="2"/>
        <v>1.1813358302122345</v>
      </c>
      <c r="AH5" s="41">
        <v>0.1</v>
      </c>
      <c r="AI5" s="38">
        <f t="shared" si="11"/>
        <v>2.3626716604244691</v>
      </c>
      <c r="AJ5" s="42">
        <v>2.5</v>
      </c>
      <c r="AK5" s="43">
        <f t="shared" si="12"/>
        <v>1.3186641697877661</v>
      </c>
      <c r="AL5" s="41">
        <v>0.1</v>
      </c>
      <c r="AM5" s="38">
        <f t="shared" si="3"/>
        <v>2.3626716604244691</v>
      </c>
      <c r="AN5" s="44" t="s">
        <v>63</v>
      </c>
      <c r="AO5" s="41">
        <v>0.1</v>
      </c>
      <c r="AP5" s="38">
        <f t="shared" si="4"/>
        <v>2.3626716604244691</v>
      </c>
      <c r="AQ5" s="38">
        <f t="shared" si="5"/>
        <v>9.5880149812734086</v>
      </c>
      <c r="AR5" s="38">
        <f t="shared" si="6"/>
        <v>20.299179481273409</v>
      </c>
      <c r="AS5" s="45">
        <f t="shared" si="7"/>
        <v>0.14083789883751638</v>
      </c>
      <c r="AT5" s="42">
        <v>23.626716604244692</v>
      </c>
      <c r="AU5" s="46">
        <f t="shared" si="13"/>
        <v>24.808052434456926</v>
      </c>
      <c r="AV5" s="42">
        <v>52.99</v>
      </c>
      <c r="AW5" s="45">
        <f t="shared" si="14"/>
        <v>0.55412876761191376</v>
      </c>
      <c r="AX5" s="45">
        <f t="shared" si="15"/>
        <v>0.49906367041198507</v>
      </c>
      <c r="AY5" s="33"/>
      <c r="AZ5" s="38">
        <f t="shared" si="16"/>
        <v>0</v>
      </c>
      <c r="BA5" s="38">
        <f t="shared" si="17"/>
        <v>0</v>
      </c>
      <c r="BB5" s="47" t="s">
        <v>64</v>
      </c>
    </row>
    <row r="6" spans="1:54" ht="30" customHeight="1" x14ac:dyDescent="0.35">
      <c r="A6" s="48">
        <v>8</v>
      </c>
      <c r="B6" s="49"/>
      <c r="C6" s="49"/>
      <c r="D6" s="27" t="s">
        <v>54</v>
      </c>
      <c r="E6" s="27"/>
      <c r="F6" s="27" t="s">
        <v>73</v>
      </c>
      <c r="G6" s="28" t="s">
        <v>55</v>
      </c>
      <c r="H6" s="28" t="s">
        <v>56</v>
      </c>
      <c r="I6" s="28" t="s">
        <v>56</v>
      </c>
      <c r="J6" s="29" t="s">
        <v>57</v>
      </c>
      <c r="K6" s="30" t="s">
        <v>58</v>
      </c>
      <c r="L6" s="31" t="s">
        <v>71</v>
      </c>
      <c r="M6" s="27"/>
      <c r="N6" s="27"/>
      <c r="O6" s="31" t="s">
        <v>60</v>
      </c>
      <c r="P6" s="32">
        <v>8.27</v>
      </c>
      <c r="Q6" s="27" t="s">
        <v>61</v>
      </c>
      <c r="R6" s="33">
        <v>37.1</v>
      </c>
      <c r="S6" s="33">
        <v>53.3</v>
      </c>
      <c r="T6" s="33">
        <v>30.5</v>
      </c>
      <c r="U6" s="35"/>
      <c r="V6" s="33">
        <v>4</v>
      </c>
      <c r="W6" s="34">
        <f>IF(R6="","",R6*S6*T6/1000000)</f>
        <v>6.0311615000000006E-2</v>
      </c>
      <c r="X6" s="35">
        <v>56</v>
      </c>
      <c r="Y6" s="36">
        <f>IF(V6="","",X6/W6*V6)</f>
        <v>3714.0441356113574</v>
      </c>
      <c r="Z6" s="37">
        <v>3200</v>
      </c>
      <c r="AA6" s="38">
        <f>IF(ISERROR(Z6/Y6),"",Z6/Y6)</f>
        <v>0.86159450000000004</v>
      </c>
      <c r="AB6" s="39" t="s">
        <v>72</v>
      </c>
      <c r="AC6" s="40">
        <v>0.191</v>
      </c>
      <c r="AD6" s="38">
        <f t="shared" si="0"/>
        <v>1.5795699999999999</v>
      </c>
      <c r="AE6" s="38">
        <f t="shared" si="1"/>
        <v>10.711164500000001</v>
      </c>
      <c r="AF6" s="41">
        <v>0.05</v>
      </c>
      <c r="AG6" s="38">
        <f t="shared" si="2"/>
        <v>1.1813358302122345</v>
      </c>
      <c r="AH6" s="41">
        <v>0.1</v>
      </c>
      <c r="AI6" s="38">
        <f>IF(ISERROR(AT6*AH6),"",AT6*AH6)</f>
        <v>2.3626716604244691</v>
      </c>
      <c r="AJ6" s="42">
        <v>2.5</v>
      </c>
      <c r="AK6" s="43">
        <f>IF((AU6-AT6)&lt;AJ6,AJ6-(AU6-AT6),0)</f>
        <v>1.3186641697877661</v>
      </c>
      <c r="AL6" s="41">
        <v>0.1</v>
      </c>
      <c r="AM6" s="38">
        <f t="shared" si="3"/>
        <v>2.3626716604244691</v>
      </c>
      <c r="AN6" s="44" t="s">
        <v>63</v>
      </c>
      <c r="AO6" s="41">
        <v>0.1</v>
      </c>
      <c r="AP6" s="38">
        <f t="shared" si="4"/>
        <v>2.3626716604244691</v>
      </c>
      <c r="AQ6" s="38">
        <f t="shared" si="5"/>
        <v>9.5880149812734086</v>
      </c>
      <c r="AR6" s="38">
        <f t="shared" si="6"/>
        <v>20.299179481273409</v>
      </c>
      <c r="AS6" s="45">
        <f t="shared" si="7"/>
        <v>0.14083789883751638</v>
      </c>
      <c r="AT6" s="42">
        <v>23.626716604244692</v>
      </c>
      <c r="AU6" s="46">
        <f>IF(ISERROR(AT6*1.05),"",AT6*1.05)</f>
        <v>24.808052434456926</v>
      </c>
      <c r="AV6" s="42">
        <v>52.99</v>
      </c>
      <c r="AW6" s="45">
        <f>IF(ISERROR((AV6-AT6)/AV6),"",(AV6-AT6)/AV6)</f>
        <v>0.55412876761191376</v>
      </c>
      <c r="AX6" s="45">
        <f>IF(ISERROR((AV6-AU6*1.07)/AV6),"",(AV6-AU6*1.07)/AV6)</f>
        <v>0.49906367041198507</v>
      </c>
      <c r="AY6" s="33"/>
      <c r="AZ6" s="38">
        <f>IF(ISERROR(AR6*AY6),"",AR6*AY6)</f>
        <v>0</v>
      </c>
      <c r="BA6" s="38">
        <f>IF(ISERROR(AT6*AY6),"",AT6*AY6)</f>
        <v>0</v>
      </c>
      <c r="BB6" s="47" t="s">
        <v>64</v>
      </c>
    </row>
    <row r="7" spans="1:54" x14ac:dyDescent="0.35">
      <c r="AS7" s="3"/>
      <c r="AV7" s="4"/>
      <c r="AW7" s="3"/>
      <c r="AX7" s="3"/>
      <c r="AY7" s="51"/>
    </row>
  </sheetData>
  <sheetProtection insertRows="0" deleteRows="0" sort="0"/>
  <protectedRanges>
    <protectedRange sqref="AV7:AY7 R7:AS7 R8:AU237 AL2:AS6 AA2:AA6 AW2:AX6 W2:Y6 AD2:AJ6 A2:Q237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2025-06-06T00:00:44Z</dcterms:created>
  <dcterms:modified xsi:type="dcterms:W3CDTF">2025-06-06T00:03:38Z</dcterms:modified>
</cp:coreProperties>
</file>