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4EBB641C-B2F6-49FA-863D-D9DCD2213F62}" xr6:coauthVersionLast="47" xr6:coauthVersionMax="47" xr10:uidLastSave="{00000000-0000-0000-0000-000000000000}"/>
  <bookViews>
    <workbookView xWindow="-110" yWindow="-110" windowWidth="19420" windowHeight="10300" xr2:uid="{73D0A1A8-31B5-44DF-8C30-60595454027A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4" i="1" l="1"/>
  <c r="AM4" i="1"/>
  <c r="AK4" i="1"/>
  <c r="AI4" i="1"/>
  <c r="AR4" i="1" s="1"/>
  <c r="AP4" i="1" s="1"/>
  <c r="AG4" i="1"/>
  <c r="AA4" i="1"/>
  <c r="AB4" i="1" s="1"/>
  <c r="R4" i="1"/>
  <c r="AY3" i="1"/>
  <c r="AM3" i="1"/>
  <c r="AK3" i="1"/>
  <c r="AI3" i="1"/>
  <c r="AG3" i="1"/>
  <c r="AA3" i="1"/>
  <c r="AD3" i="1" s="1"/>
  <c r="R3" i="1"/>
  <c r="AY2" i="1"/>
  <c r="AM2" i="1"/>
  <c r="AK2" i="1"/>
  <c r="AI2" i="1"/>
  <c r="AG2" i="1"/>
  <c r="AA2" i="1"/>
  <c r="AD2" i="1" s="1"/>
  <c r="R2" i="1"/>
  <c r="AD4" i="1" l="1"/>
  <c r="AO4" i="1" s="1"/>
  <c r="AS4" i="1" s="1"/>
  <c r="AU4" i="1" s="1"/>
  <c r="AV4" i="1" s="1"/>
  <c r="AB3" i="1"/>
  <c r="AB2" i="1"/>
  <c r="AO2" i="1"/>
  <c r="AS2" i="1" s="1"/>
  <c r="AR2" i="1"/>
  <c r="AP2" i="1" s="1"/>
  <c r="AO3" i="1"/>
  <c r="AS3" i="1" s="1"/>
  <c r="AR3" i="1"/>
  <c r="AP3" i="1" s="1"/>
  <c r="AU3" i="1" l="1"/>
  <c r="AV3" i="1"/>
  <c r="AW4" i="1"/>
  <c r="BA4" i="1"/>
  <c r="AU2" i="1"/>
  <c r="AV2" i="1" s="1"/>
  <c r="AW2" i="1" l="1"/>
  <c r="BA2" i="1"/>
  <c r="AW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57123735-7B9E-4FD4-B181-028001258DD5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C01D82EF-58D0-4769-901D-9A4FC4346A4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8FC87029-FE8C-47C3-BE56-44944890C6E2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3315948C-52D9-4876-895E-F7FD66760927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G1" authorId="0" shapeId="0" xr:uid="{FA39C571-5499-48C0-974A-24F79385FBBC}">
      <text>
        <r>
          <rPr>
            <sz val="11"/>
            <rFont val="Calibri"/>
            <family val="2"/>
          </rPr>
          <t>[FOB Cost $ (Value)]*0.99*[Duty Rate]</t>
        </r>
      </text>
    </comment>
    <comment ref="AI1" authorId="0" shapeId="0" xr:uid="{C5DD9D99-03E5-4E7F-B103-3871B1A875D6}">
      <text>
        <r>
          <rPr>
            <sz val="11"/>
            <rFont val="Calibri"/>
            <family val="2"/>
          </rPr>
          <t>[JLA FOB Price DI]*0.99*[DA %]</t>
        </r>
      </text>
    </comment>
    <comment ref="AK1" authorId="0" shapeId="0" xr:uid="{C639E370-622B-431B-B542-95A81358E54E}">
      <text>
        <r>
          <rPr>
            <sz val="11"/>
            <rFont val="Calibri"/>
            <family val="2"/>
          </rPr>
          <t>[JLA FOB Price DI]*0.99*[Brokage %]</t>
        </r>
      </text>
    </comment>
    <comment ref="AM1" authorId="0" shapeId="0" xr:uid="{3757870D-2BC2-4F56-BF46-CA125AA0AA04}">
      <text>
        <r>
          <rPr>
            <sz val="11"/>
            <rFont val="Calibri"/>
            <family val="2"/>
          </rPr>
          <t>[JLA FOB Price DI]*[Agent Fee %]</t>
        </r>
      </text>
    </comment>
    <comment ref="AO1" authorId="0" shapeId="0" xr:uid="{D22FBDAB-D54C-4F2D-9A9D-894FC9AB141E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P1" authorId="0" shapeId="0" xr:uid="{DFDA1F08-D7BD-447F-AF6A-6C74834B4479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R1" authorId="0" shapeId="0" xr:uid="{A73B7BD9-0652-4E2E-8E2D-49B2D0AF7756}">
      <text>
        <r>
          <rPr>
            <sz val="11"/>
            <rFont val="Calibri"/>
            <family val="2"/>
          </rPr>
          <t>[JLA FOB Price DI]-[DA $]</t>
        </r>
      </text>
    </comment>
    <comment ref="AS1" authorId="0" shapeId="0" xr:uid="{E77E1324-9754-4A53-8AC4-0F285B15D219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U1" authorId="0" shapeId="0" xr:uid="{404ACA2C-C05D-4A90-AD8A-085DC4A09F18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V1" authorId="0" shapeId="0" xr:uid="{04620271-0F8B-432B-8AE1-9744CE6F2E7F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  <comment ref="AW1" authorId="0" shapeId="0" xr:uid="{A3974A58-E1AF-4BC9-82C7-2BC82FCC6E1E}">
      <text>
        <r>
          <rPr>
            <sz val="11"/>
            <rFont val="Calibri"/>
            <family val="2"/>
          </rPr>
          <t>([DI Flow Store Cost with Freight Factor]-[JLA LDP Price plus Freight Factor])/[DI Flow Store Cost with Freight Factor]</t>
        </r>
      </text>
    </comment>
    <comment ref="AY1" authorId="0" shapeId="0" xr:uid="{C0AEFD1A-5074-4023-9C10-28FA13FECA26}">
      <text>
        <r>
          <rPr>
            <sz val="11"/>
            <rFont val="Calibri"/>
            <family val="2"/>
          </rPr>
          <t>[JLA LDP Price plus Freight Factor]+2.5</t>
        </r>
      </text>
    </comment>
    <comment ref="BA1" authorId="0" shapeId="0" xr:uid="{282EA944-3CA5-4C29-BA12-21EE92DE80F2}">
      <text>
        <r>
          <rPr>
            <sz val="11"/>
            <rFont val="Calibri"/>
            <family val="2"/>
          </rPr>
          <t>([Suggested Retail Price]-[DI Flow Store Cost with Freight Factor])/[Suggested Retail Price]</t>
        </r>
      </text>
    </comment>
  </commentList>
</comments>
</file>

<file path=xl/sharedStrings.xml><?xml version="1.0" encoding="utf-8"?>
<sst xmlns="http://schemas.openxmlformats.org/spreadsheetml/2006/main" count="77" uniqueCount="63">
  <si>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</si>
  <si>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</si>
  <si>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</si>
  <si>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</si>
  <si>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</si>
  <si>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</si>
  <si>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</si>
  <si>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</si>
  <si>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</si>
  <si>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</si>
  <si>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</si>
  <si>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</si>
  <si>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</si>
  <si>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</si>
  <si>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</si>
  <si>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</si>
  <si>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</si>
  <si>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</si>
  <si>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</si>
  <si>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</si>
  <si>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</si>
  <si>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</si>
  <si>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</si>
  <si>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</si>
  <si>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</si>
  <si>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</si>
  <si>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</si>
  <si>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</si>
  <si>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Flow Freight Cost Per CBM $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</si>
  <si>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</si>
  <si>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</si>
  <si>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</si>
  <si>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</si>
  <si>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</si>
  <si>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</si>
  <si>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</si>
  <si>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</si>
  <si>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</si>
  <si>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</si>
  <si>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</si>
  <si>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</si>
  <si>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</si>
  <si>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</si>
  <si>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</si>
  <si>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Store Cost without Freight Factor</t>
  </si>
  <si>
    <t>DI Flow Freight Factor %</t>
  </si>
  <si>
    <t>DI Flow Freight Factor</t>
  </si>
  <si>
    <t>DI Flow Store Cost with Freight Factor</t>
  </si>
  <si>
    <t>Difference Between DI and Domestic</t>
  </si>
  <si>
    <t>JLA LDP Price plus Freight Factor</t>
  </si>
  <si>
    <t>DSV Cost</t>
  </si>
  <si>
    <t>Suggested Retail Price</t>
  </si>
  <si>
    <t>Retail Markup %</t>
  </si>
  <si>
    <t>Mainstays</t>
  </si>
  <si>
    <t>COMFORTER (SET)(10)</t>
  </si>
  <si>
    <t>3 pcs set - comforter mini set</t>
  </si>
  <si>
    <t>Comforter and sham: 100%polyester seersucker solid face and 85gsm microfiber solid back. 6 oz/sqyd  poly fill. 2"line bartack</t>
  </si>
  <si>
    <t xml:space="preserve">Twin/TXL Comforter: 66x90
Shams:20x26(1)                                                                                                                                              
</t>
  </si>
  <si>
    <t>Grey</t>
  </si>
  <si>
    <t>Normal</t>
  </si>
  <si>
    <t>9404.40.9022</t>
  </si>
  <si>
    <t xml:space="preserve">Full/QUEEN Comforter: 88x92
Shams:20x26(2)                                                                                                                                              
</t>
  </si>
  <si>
    <t xml:space="preserve">KING Comforter: 104x92
Shams:20x36(2)                                                                                                                                      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</si>
</sst>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%"/>
  </numFmts>
  <fonts count="6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5" borderId="1" xfId="2" applyNumberFormat="1" applyFont="1" applyFill="1" applyBorder="1" applyAlignment="1">
      <alignment wrapText="1"/>
    </xf>
    <xf numFmtId="165" fontId="5" fillId="0" borderId="1" xfId="2" applyNumberFormat="1" applyFont="1" applyBorder="1" applyAlignment="1">
      <alignment wrapText="1"/>
    </xf>
    <xf numFmtId="10" fontId="5" fillId="0" borderId="1" xfId="2" applyNumberFormat="1" applyFont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5" fillId="3" borderId="1" xfId="2" applyFont="1" applyFill="1" applyBorder="1" applyAlignment="1">
      <alignment wrapText="1"/>
    </xf>
    <xf numFmtId="165" fontId="5" fillId="3" borderId="1" xfId="2" applyNumberFormat="1" applyFont="1" applyFill="1" applyBorder="1" applyAlignment="1">
      <alignment wrapText="1"/>
    </xf>
    <xf numFmtId="10" fontId="2" fillId="3" borderId="1" xfId="0" applyNumberFormat="1" applyFont="1" applyFill="1" applyBorder="1" applyAlignment="1">
      <alignment horizontal="center" wrapText="1"/>
    </xf>
    <xf numFmtId="10" fontId="5" fillId="3" borderId="1" xfId="2" applyNumberFormat="1" applyFont="1" applyFill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0" fillId="7" borderId="1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2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65" fontId="0" fillId="7" borderId="1" xfId="0" applyNumberFormat="1" applyFill="1" applyBorder="1" applyAlignment="1">
      <alignment wrapText="1"/>
    </xf>
    <xf numFmtId="166" fontId="0" fillId="0" borderId="1" xfId="0" applyNumberFormat="1" applyBorder="1"/>
    <xf numFmtId="10" fontId="0" fillId="0" borderId="1" xfId="0" applyNumberFormat="1" applyBorder="1" applyAlignment="1">
      <alignment wrapText="1"/>
    </xf>
    <xf numFmtId="10" fontId="0" fillId="7" borderId="1" xfId="0" applyNumberFormat="1" applyFill="1" applyBorder="1" applyAlignment="1">
      <alignment wrapText="1"/>
    </xf>
    <xf numFmtId="165" fontId="0" fillId="7" borderId="1" xfId="4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</cellXfs>
  <cellStyles count="5">
    <cellStyle name="Currency 2" xfId="3" xr:uid="{922BE005-4E16-498D-9AA6-C7B3195185DE}"/>
    <cellStyle name="Normal" xfId="0" builtinId="0"/>
    <cellStyle name="Normal 2" xfId="1" xr:uid="{CC15BC3A-343C-419D-8500-D32CCA66BD54}"/>
    <cellStyle name="Normal 2 18 2" xfId="2" xr:uid="{8D38E398-73C2-4751-8F8C-DE266FB3B9F5}"/>
    <cellStyle name="Percent 2" xfId="4" xr:uid="{2CF84F92-D08B-4038-B2AA-06A64309FB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8E70-FFF9-493C-B504-6A86742EA490}">
  <dimension ref="A1:BA4"/>
  <sheetViews>
    <sheetView tabSelected="1" workbookViewId="0">
      <selection activeCell="K12" sqref="K12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3" width="8.453125" style="2" customWidth="1"/>
    <col min="4" max="4" width="7.81640625" style="2" customWidth="1"/>
    <col min="5" max="5" width="11.26953125" style="2" customWidth="1"/>
    <col min="6" max="6" width="7.54296875" style="2" customWidth="1"/>
    <col min="7" max="8" width="7.453125" style="2" customWidth="1"/>
    <col min="9" max="9" width="8.54296875" style="2" customWidth="1"/>
    <col min="10" max="10" width="7" style="2" customWidth="1"/>
    <col min="11" max="12" width="6.1796875" style="2" customWidth="1"/>
    <col min="13" max="13" width="6.81640625" style="2" customWidth="1"/>
    <col min="14" max="15" width="5.6328125" style="2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08984375" style="5" customWidth="1"/>
    <col min="21" max="21" width="9.36328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90625" style="5" customWidth="1"/>
    <col min="31" max="31" width="7.81640625" style="2" customWidth="1"/>
    <col min="32" max="32" width="8.453125" style="7" customWidth="1"/>
    <col min="33" max="33" width="9" style="5" customWidth="1"/>
    <col min="34" max="34" width="7.90625" style="7" customWidth="1"/>
    <col min="35" max="35" width="5.90625" style="5" customWidth="1"/>
    <col min="36" max="36" width="9.6328125" style="7" customWidth="1"/>
    <col min="37" max="37" width="10" style="5" customWidth="1"/>
    <col min="38" max="38" width="9.54296875" style="7" customWidth="1"/>
    <col min="39" max="39" width="11.81640625" style="5" customWidth="1"/>
    <col min="40" max="40" width="7.08984375" style="7" customWidth="1"/>
    <col min="41" max="41" width="7.81640625" style="5" customWidth="1"/>
    <col min="42" max="42" width="9.6328125" style="7" customWidth="1"/>
    <col min="43" max="43" width="12.1796875" style="5" customWidth="1"/>
    <col min="44" max="44" width="9.1796875" style="2" customWidth="1"/>
    <col min="45" max="45" width="12.453125" style="2" customWidth="1"/>
    <col min="46" max="46" width="9.1796875" style="7"/>
    <col min="47" max="48" width="9.1796875" style="5"/>
    <col min="49" max="49" width="9.1796875" style="7"/>
    <col min="50" max="50" width="9.1796875" style="5"/>
    <col min="51" max="51" width="9.1796875" style="2"/>
    <col min="52" max="52" width="9.1796875" style="5"/>
    <col min="53" max="16384" width="9.1796875" style="2"/>
  </cols>
  <sheetData>
    <row r="1" spans="1:53" ht="75" customHeight="1" x14ac:dyDescent="0.35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9" t="s">
        <v>5</v>
      </c>
      <c r="G1" s="12" t="s">
        <v>6</v>
      </c>
      <c r="H1" s="13" t="s">
        <v>7</v>
      </c>
      <c r="I1" s="12" t="s">
        <v>8</v>
      </c>
      <c r="J1" s="12" t="s">
        <v>9</v>
      </c>
      <c r="K1" s="12" t="s">
        <v>10</v>
      </c>
      <c r="L1" s="9" t="s">
        <v>11</v>
      </c>
      <c r="M1" s="9" t="s">
        <v>12</v>
      </c>
      <c r="N1" s="9" t="s">
        <v>13</v>
      </c>
      <c r="O1" s="13" t="s">
        <v>14</v>
      </c>
      <c r="P1" s="14" t="s">
        <v>15</v>
      </c>
      <c r="Q1" s="15" t="s">
        <v>16</v>
      </c>
      <c r="R1" s="16" t="s">
        <v>17</v>
      </c>
      <c r="S1" s="17" t="s">
        <v>18</v>
      </c>
      <c r="T1" s="18" t="s">
        <v>19</v>
      </c>
      <c r="U1" s="19" t="s">
        <v>20</v>
      </c>
      <c r="V1" s="20" t="s">
        <v>21</v>
      </c>
      <c r="W1" s="20" t="s">
        <v>22</v>
      </c>
      <c r="X1" s="20" t="s">
        <v>23</v>
      </c>
      <c r="Y1" s="21" t="s">
        <v>24</v>
      </c>
      <c r="Z1" s="22" t="s">
        <v>25</v>
      </c>
      <c r="AA1" s="23" t="s">
        <v>26</v>
      </c>
      <c r="AB1" s="24" t="s">
        <v>27</v>
      </c>
      <c r="AC1" s="8" t="s">
        <v>28</v>
      </c>
      <c r="AD1" s="24" t="s">
        <v>29</v>
      </c>
      <c r="AE1" s="8" t="s">
        <v>30</v>
      </c>
      <c r="AF1" s="25" t="s">
        <v>31</v>
      </c>
      <c r="AG1" s="26" t="s">
        <v>32</v>
      </c>
      <c r="AH1" s="25" t="s">
        <v>33</v>
      </c>
      <c r="AI1" s="27" t="s">
        <v>34</v>
      </c>
      <c r="AJ1" s="8" t="s">
        <v>35</v>
      </c>
      <c r="AK1" s="27" t="s">
        <v>36</v>
      </c>
      <c r="AL1" s="25" t="s">
        <v>37</v>
      </c>
      <c r="AM1" s="27" t="s">
        <v>38</v>
      </c>
      <c r="AN1" s="25" t="s">
        <v>39</v>
      </c>
      <c r="AO1" s="27" t="s">
        <v>40</v>
      </c>
      <c r="AP1" s="28" t="s">
        <v>41</v>
      </c>
      <c r="AQ1" s="29" t="s">
        <v>42</v>
      </c>
      <c r="AR1" s="30" t="s">
        <v>43</v>
      </c>
      <c r="AS1" s="31" t="s">
        <v>44</v>
      </c>
      <c r="AT1" s="32" t="s">
        <v>45</v>
      </c>
      <c r="AU1" s="31" t="s">
        <v>46</v>
      </c>
      <c r="AV1" s="31" t="s">
        <v>47</v>
      </c>
      <c r="AW1" s="33" t="s">
        <v>48</v>
      </c>
      <c r="AX1" s="34" t="s">
        <v>49</v>
      </c>
      <c r="AY1" s="8" t="s">
        <v>50</v>
      </c>
      <c r="AZ1" s="34" t="s">
        <v>51</v>
      </c>
      <c r="BA1" s="8" t="s">
        <v>52</v>
      </c>
    </row>
    <row r="2" spans="1:53" x14ac:dyDescent="0.35">
      <c r="A2" s="35">
        <v>1</v>
      </c>
      <c r="B2" s="36"/>
      <c r="C2" s="36"/>
      <c r="D2" s="37" t="s">
        <v>53</v>
      </c>
      <c r="E2" s="37" t="s">
        <v>54</v>
      </c>
      <c r="F2" s="36"/>
      <c r="G2" s="38" t="s">
        <v>55</v>
      </c>
      <c r="H2" s="36"/>
      <c r="I2" s="38" t="s">
        <v>56</v>
      </c>
      <c r="J2" s="37" t="s">
        <v>57</v>
      </c>
      <c r="K2" s="36" t="s">
        <v>58</v>
      </c>
      <c r="L2" s="36"/>
      <c r="M2" s="36"/>
      <c r="N2" s="36"/>
      <c r="O2" s="36"/>
      <c r="P2" s="39"/>
      <c r="Q2" s="40"/>
      <c r="R2" s="41" t="str">
        <f>IF(ISERROR(P2/Q2),"",P2/Q2)</f>
        <v/>
      </c>
      <c r="S2" s="42">
        <v>7.949685534591195</v>
      </c>
      <c r="T2" s="42"/>
      <c r="U2" s="36" t="s">
        <v>59</v>
      </c>
      <c r="V2" s="36">
        <v>46</v>
      </c>
      <c r="W2" s="36">
        <v>32</v>
      </c>
      <c r="X2" s="36">
        <v>43</v>
      </c>
      <c r="Y2" s="40"/>
      <c r="Z2" s="43">
        <v>2</v>
      </c>
      <c r="AA2" s="44">
        <f>IF(V2="","",V2*W2*X2/1000000)</f>
        <v>6.3296000000000005E-2</v>
      </c>
      <c r="AB2" s="45">
        <f>IF(Z2="","",67/AA2*Z2)</f>
        <v>2117.0374115267946</v>
      </c>
      <c r="AC2" s="36">
        <v>53.28</v>
      </c>
      <c r="AD2" s="46">
        <f>IF(ISERROR(AC2*AA2/Z2),"",AC2*AA2/Z2)</f>
        <v>1.6862054400000002</v>
      </c>
      <c r="AE2" s="37" t="s">
        <v>60</v>
      </c>
      <c r="AF2" s="47">
        <v>0.128</v>
      </c>
      <c r="AG2" s="46">
        <f>IF(ISERROR(AQ2*0.99*AF2),"",AQ2*0.99*AF2)</f>
        <v>1.2158784</v>
      </c>
      <c r="AH2" s="48">
        <v>1.6299999999999999E-2</v>
      </c>
      <c r="AI2" s="46">
        <f>IF(ISERROR(AQ2*0.99*AH2),"",AQ2*0.99*AH2)</f>
        <v>0.15483451500000001</v>
      </c>
      <c r="AJ2" s="48">
        <v>-0.03</v>
      </c>
      <c r="AK2" s="46">
        <f>IF(ISERROR(AQ2*0.99*AJ2),"",AQ2*0.99*AJ2)</f>
        <v>-0.28497149999999999</v>
      </c>
      <c r="AL2" s="48">
        <v>0.05</v>
      </c>
      <c r="AM2" s="46">
        <f>IF(ISERROR(AQ2*AL2),"",AQ2*AL2)</f>
        <v>0.47975000000000007</v>
      </c>
      <c r="AN2" s="48">
        <v>1.8E-3</v>
      </c>
      <c r="AO2" s="46">
        <f>IF(ISERROR((AQ2-AI2+AK2+AM2+AD2+AG2)*AN2),"",(AQ2-AI2+AK2+AM2+AD2+AG2)*AN2)</f>
        <v>2.2566650085000001E-2</v>
      </c>
      <c r="AP2" s="49">
        <f>IF(ISERROR((AR2-S2)/AR2-1%),"",(AR2-S2)/AR2-1%)</f>
        <v>0.14788705746494721</v>
      </c>
      <c r="AQ2" s="42">
        <v>9.5950000000000006</v>
      </c>
      <c r="AR2" s="50">
        <f>IF(ISERROR(AQ2-AI2),"",AQ2-AI2)</f>
        <v>9.4401654850000014</v>
      </c>
      <c r="AS2" s="50">
        <f>IF(ISERROR(AQ2-AI2+AD2+AG2+AK2+AM2+AO2),"",AQ2-AI2+AD2+AG2+AK2+AM2+AO2)</f>
        <v>12.559594475085001</v>
      </c>
      <c r="AT2" s="48">
        <v>3.9100000000000003E-2</v>
      </c>
      <c r="AU2" s="50">
        <f>IF(ISERROR(AS2*AT2),"",AS2*AT2)</f>
        <v>0.49108014397582356</v>
      </c>
      <c r="AV2" s="50">
        <f>IF(ISERROR(AS2+AU2),"",AS2+AU2)</f>
        <v>13.050674619060825</v>
      </c>
      <c r="AW2" s="51">
        <f>IF(ISERROR((AV2-AX2)/AV2),"",(AV2-AX2)/AV2)</f>
        <v>-0.13249317996280022</v>
      </c>
      <c r="AX2" s="42">
        <v>14.7798</v>
      </c>
      <c r="AY2" s="50">
        <f>IF(AX2="","",AX2+2.5)</f>
        <v>17.279800000000002</v>
      </c>
      <c r="AZ2" s="42">
        <v>29.98</v>
      </c>
      <c r="BA2" s="51">
        <f>IF(ISERROR((AZ2-AV2)/AZ2),"",(AZ2-AV2)/AZ2)</f>
        <v>0.56468730423412861</v>
      </c>
    </row>
    <row r="3" spans="1:53" x14ac:dyDescent="0.35">
      <c r="A3" s="35">
        <v>2</v>
      </c>
      <c r="B3" s="36"/>
      <c r="C3" s="36"/>
      <c r="D3" s="37" t="s">
        <v>53</v>
      </c>
      <c r="E3" s="37" t="s">
        <v>54</v>
      </c>
      <c r="F3" s="36"/>
      <c r="G3" s="38" t="s">
        <v>55</v>
      </c>
      <c r="H3" s="36"/>
      <c r="I3" s="38" t="s">
        <v>56</v>
      </c>
      <c r="J3" s="37" t="s">
        <v>61</v>
      </c>
      <c r="K3" s="36" t="s">
        <v>58</v>
      </c>
      <c r="L3" s="36"/>
      <c r="M3" s="36"/>
      <c r="N3" s="36"/>
      <c r="O3" s="36"/>
      <c r="P3" s="39"/>
      <c r="Q3" s="40"/>
      <c r="R3" s="41" t="str">
        <f t="shared" ref="R3:R4" si="0">IF(ISERROR(P3/Q3),"",P3/Q3)</f>
        <v/>
      </c>
      <c r="S3" s="42">
        <v>10.324528301886792</v>
      </c>
      <c r="T3" s="42"/>
      <c r="U3" s="36" t="s">
        <v>59</v>
      </c>
      <c r="V3" s="36">
        <v>46</v>
      </c>
      <c r="W3" s="36">
        <v>32</v>
      </c>
      <c r="X3" s="36">
        <v>48</v>
      </c>
      <c r="Y3" s="40"/>
      <c r="Z3" s="43">
        <v>2</v>
      </c>
      <c r="AA3" s="44">
        <f t="shared" ref="AA3:AA4" si="1">IF(V3="","",V3*W3*X3/1000000)</f>
        <v>7.0655999999999997E-2</v>
      </c>
      <c r="AB3" s="45">
        <f t="shared" ref="AB3:AB4" si="2">IF(Z3="","",67/AA3*Z3)</f>
        <v>1896.5126811594205</v>
      </c>
      <c r="AC3" s="36">
        <v>53.28</v>
      </c>
      <c r="AD3" s="46">
        <f t="shared" ref="AD3:AD4" si="3">IF(ISERROR(AC3*AA3/Z3),"",AC3*AA3/Z3)</f>
        <v>1.8822758399999999</v>
      </c>
      <c r="AE3" s="37" t="s">
        <v>60</v>
      </c>
      <c r="AF3" s="47">
        <v>0.128</v>
      </c>
      <c r="AG3" s="46">
        <f t="shared" ref="AG3:AG4" si="4">IF(ISERROR(AQ3*0.99*AF3),"",AQ3*0.99*AF3)</f>
        <v>1.5102489600000002</v>
      </c>
      <c r="AH3" s="48">
        <v>1.6299999999999999E-2</v>
      </c>
      <c r="AI3" s="46">
        <f t="shared" ref="AI3:AI4" si="5">IF(ISERROR(AQ3*0.99*AH3),"",AQ3*0.99*AH3)</f>
        <v>0.192320766</v>
      </c>
      <c r="AJ3" s="48">
        <v>-0.03</v>
      </c>
      <c r="AK3" s="46">
        <f t="shared" ref="AK3:AK4" si="6">IF(ISERROR(AQ3*0.99*AJ3),"",AQ3*0.99*AJ3)</f>
        <v>-0.35396460000000002</v>
      </c>
      <c r="AL3" s="48">
        <v>0.05</v>
      </c>
      <c r="AM3" s="46">
        <f t="shared" ref="AM3:AM4" si="7">IF(ISERROR(AQ3*AL3),"",AQ3*AL3)</f>
        <v>0.5959000000000001</v>
      </c>
      <c r="AN3" s="48">
        <v>1.8E-3</v>
      </c>
      <c r="AO3" s="46">
        <f t="shared" ref="AO3:AO4" si="8">IF(ISERROR((AQ3-AI3+AK3+AM3+AD3+AG3)*AN3),"",(AQ3-AI3+AK3+AM3+AD3+AG3)*AN3)</f>
        <v>2.7648250981200002E-2</v>
      </c>
      <c r="AP3" s="49">
        <f t="shared" ref="AP3:AP4" si="9">IF(ISERROR((AR3-S3)/AR3-1%),"",(AR3-S3)/AR3-1%)</f>
        <v>0.10949422324724742</v>
      </c>
      <c r="AQ3" s="42">
        <v>11.918000000000001</v>
      </c>
      <c r="AR3" s="50">
        <f t="shared" ref="AR3:AR4" si="10">IF(ISERROR(AQ3-AI3),"",AQ3-AI3)</f>
        <v>11.725679234000001</v>
      </c>
      <c r="AS3" s="50">
        <f t="shared" ref="AS3:AS4" si="11">IF(ISERROR(AQ3-AI3+AD3+AG3+AK3+AM3+AO3),"",AQ3-AI3+AD3+AG3+AK3+AM3+AO3)</f>
        <v>15.387787684981202</v>
      </c>
      <c r="AT3" s="48">
        <v>3.9100000000000003E-2</v>
      </c>
      <c r="AU3" s="50">
        <f t="shared" ref="AU3:AU4" si="12">IF(ISERROR(AS3*AT3),"",AS3*AT3)</f>
        <v>0.60166249848276498</v>
      </c>
      <c r="AV3" s="50">
        <f t="shared" ref="AV3:AV4" si="13">IF(ISERROR(AS3+AU3),"",AS3+AU3)</f>
        <v>15.989450183463967</v>
      </c>
      <c r="AW3" s="51">
        <f t="shared" ref="AW3:AW4" si="14">IF(ISERROR((AV3-AX3)/AV3),"",(AV3-AX3)/AV3)</f>
        <v>-0.12529197649384241</v>
      </c>
      <c r="AX3" s="42">
        <v>17.992799999999999</v>
      </c>
      <c r="AY3" s="50">
        <f t="shared" ref="AY3:AY4" si="15">IF(AX3="","",AX3+2.5)</f>
        <v>20.492799999999999</v>
      </c>
      <c r="AZ3" s="42">
        <v>29.98</v>
      </c>
      <c r="BA3" s="51">
        <f t="shared" ref="BA3:BA4" si="16">IF(ISERROR((AZ3-AV3)/AZ3),"",(AZ3-AV3)/AZ3)</f>
        <v>0.46666276906391035</v>
      </c>
    </row>
    <row r="4" spans="1:53" x14ac:dyDescent="0.35">
      <c r="A4" s="35">
        <v>3</v>
      </c>
      <c r="B4" s="36"/>
      <c r="C4" s="36"/>
      <c r="D4" s="37" t="s">
        <v>53</v>
      </c>
      <c r="E4" s="37" t="s">
        <v>54</v>
      </c>
      <c r="F4" s="36"/>
      <c r="G4" s="38" t="s">
        <v>55</v>
      </c>
      <c r="H4" s="36"/>
      <c r="I4" s="38" t="s">
        <v>56</v>
      </c>
      <c r="J4" s="37" t="s">
        <v>62</v>
      </c>
      <c r="K4" s="36" t="s">
        <v>58</v>
      </c>
      <c r="L4" s="36"/>
      <c r="M4" s="36"/>
      <c r="N4" s="36"/>
      <c r="O4" s="36"/>
      <c r="P4" s="39"/>
      <c r="Q4" s="40"/>
      <c r="R4" s="41" t="str">
        <f t="shared" si="0"/>
        <v/>
      </c>
      <c r="S4" s="42">
        <v>11.924528301886792</v>
      </c>
      <c r="T4" s="42"/>
      <c r="U4" s="36" t="s">
        <v>59</v>
      </c>
      <c r="V4" s="36">
        <v>46</v>
      </c>
      <c r="W4" s="36">
        <v>32</v>
      </c>
      <c r="X4" s="36">
        <v>53</v>
      </c>
      <c r="Y4" s="40"/>
      <c r="Z4" s="43">
        <v>2</v>
      </c>
      <c r="AA4" s="44">
        <f t="shared" si="1"/>
        <v>7.8016000000000002E-2</v>
      </c>
      <c r="AB4" s="45">
        <f t="shared" si="2"/>
        <v>1717.5963904840032</v>
      </c>
      <c r="AC4" s="36">
        <v>53.28</v>
      </c>
      <c r="AD4" s="46">
        <f t="shared" si="3"/>
        <v>2.0783462400000001</v>
      </c>
      <c r="AE4" s="37" t="s">
        <v>60</v>
      </c>
      <c r="AF4" s="47">
        <v>0.128</v>
      </c>
      <c r="AG4" s="46">
        <f t="shared" si="4"/>
        <v>1.7278271999999999</v>
      </c>
      <c r="AH4" s="48">
        <v>1.6299999999999999E-2</v>
      </c>
      <c r="AI4" s="46">
        <f t="shared" si="5"/>
        <v>0.22002799499999998</v>
      </c>
      <c r="AJ4" s="48">
        <v>-0.03</v>
      </c>
      <c r="AK4" s="46">
        <f t="shared" si="6"/>
        <v>-0.40495949999999997</v>
      </c>
      <c r="AL4" s="48">
        <v>0.05</v>
      </c>
      <c r="AM4" s="46">
        <f t="shared" si="7"/>
        <v>0.68175000000000008</v>
      </c>
      <c r="AN4" s="48">
        <v>1.8E-3</v>
      </c>
      <c r="AO4" s="46">
        <f t="shared" si="8"/>
        <v>3.1496284700999994E-2</v>
      </c>
      <c r="AP4" s="49">
        <f t="shared" si="9"/>
        <v>0.1011030051018886</v>
      </c>
      <c r="AQ4" s="42">
        <v>13.635</v>
      </c>
      <c r="AR4" s="50">
        <f t="shared" si="10"/>
        <v>13.414972004999999</v>
      </c>
      <c r="AS4" s="50">
        <f t="shared" si="11"/>
        <v>17.529432229700998</v>
      </c>
      <c r="AT4" s="48">
        <v>3.9100000000000003E-2</v>
      </c>
      <c r="AU4" s="50">
        <f t="shared" si="12"/>
        <v>0.68540080018130911</v>
      </c>
      <c r="AV4" s="50">
        <f t="shared" si="13"/>
        <v>18.214833029882307</v>
      </c>
      <c r="AW4" s="51">
        <f t="shared" si="14"/>
        <v>-0.14068572387754946</v>
      </c>
      <c r="AX4" s="42">
        <v>20.777399999999997</v>
      </c>
      <c r="AY4" s="50">
        <f t="shared" si="15"/>
        <v>23.277399999999997</v>
      </c>
      <c r="AZ4" s="42">
        <v>29.98</v>
      </c>
      <c r="BA4" s="51">
        <f t="shared" si="16"/>
        <v>0.39243385490719457</v>
      </c>
    </row>
  </sheetData>
  <sheetProtection insertRows="0" deleteRows="0" sort="0"/>
  <protectedRanges>
    <protectedRange sqref="BA2:BA4 AJ1:AS4 AY2:AY4 AJ5:AQ198 AC1:AD1 A2:AI198 AU2:AW4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2025-05-28T21:03:22Z</dcterms:created>
  <dcterms:modified xsi:type="dcterms:W3CDTF">2025-05-28T21:06:37Z</dcterms:modified>
</cp:coreProperties>
</file>