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5CB7572-CFF8-4B90-A03E-DA16FC06AB60}" xr6:coauthVersionLast="47" xr6:coauthVersionMax="47" xr10:uidLastSave="{00000000-0000-0000-0000-000000000000}"/>
  <bookViews>
    <workbookView xWindow="-110" yWindow="-110" windowWidth="19420" windowHeight="10300" xr2:uid="{637D0076-54E9-402C-9379-871B8FADE08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V7" i="1"/>
  <c r="AN7" i="1"/>
  <c r="AK7" i="1"/>
  <c r="AI7" i="1"/>
  <c r="AF7" i="1"/>
  <c r="W7" i="1"/>
  <c r="X7" i="1" s="1"/>
  <c r="Z7" i="1" s="1"/>
  <c r="N7" i="1"/>
  <c r="O7" i="1" s="1"/>
  <c r="AC7" i="1" s="1"/>
  <c r="AX6" i="1"/>
  <c r="AV6" i="1"/>
  <c r="AN6" i="1"/>
  <c r="AK6" i="1"/>
  <c r="AI6" i="1"/>
  <c r="AF6" i="1"/>
  <c r="W6" i="1"/>
  <c r="X6" i="1" s="1"/>
  <c r="Z6" i="1" s="1"/>
  <c r="N6" i="1"/>
  <c r="O6" i="1" s="1"/>
  <c r="AC6" i="1" s="1"/>
  <c r="AX5" i="1"/>
  <c r="AV5" i="1"/>
  <c r="AN5" i="1"/>
  <c r="AK5" i="1"/>
  <c r="AI5" i="1"/>
  <c r="AF5" i="1"/>
  <c r="W5" i="1"/>
  <c r="X5" i="1" s="1"/>
  <c r="Z5" i="1" s="1"/>
  <c r="N5" i="1"/>
  <c r="O5" i="1" s="1"/>
  <c r="AC5" i="1" s="1"/>
  <c r="AX4" i="1"/>
  <c r="AV4" i="1"/>
  <c r="AN4" i="1"/>
  <c r="AK4" i="1"/>
  <c r="AI4" i="1"/>
  <c r="AF4" i="1"/>
  <c r="W4" i="1"/>
  <c r="X4" i="1" s="1"/>
  <c r="Z4" i="1" s="1"/>
  <c r="N4" i="1"/>
  <c r="O4" i="1" s="1"/>
  <c r="AC4" i="1" s="1"/>
  <c r="AX3" i="1"/>
  <c r="AV3" i="1"/>
  <c r="AN3" i="1"/>
  <c r="AK3" i="1"/>
  <c r="AI3" i="1"/>
  <c r="AF3" i="1"/>
  <c r="W3" i="1"/>
  <c r="X3" i="1" s="1"/>
  <c r="Z3" i="1" s="1"/>
  <c r="N3" i="1"/>
  <c r="O3" i="1" s="1"/>
  <c r="AC3" i="1" s="1"/>
  <c r="AX2" i="1"/>
  <c r="AV2" i="1"/>
  <c r="AN2" i="1"/>
  <c r="AK2" i="1"/>
  <c r="AI2" i="1"/>
  <c r="AF2" i="1"/>
  <c r="W2" i="1"/>
  <c r="X2" i="1" s="1"/>
  <c r="Z2" i="1" s="1"/>
  <c r="N2" i="1"/>
  <c r="O2" i="1" s="1"/>
  <c r="AC2" i="1" s="1"/>
  <c r="AD6" i="1" l="1"/>
  <c r="AR6" i="1" s="1"/>
  <c r="AS6" i="1" s="1"/>
  <c r="AD3" i="1"/>
  <c r="AR3" i="1" s="1"/>
  <c r="AS3" i="1" s="1"/>
  <c r="AD5" i="1"/>
  <c r="AR5" i="1" s="1"/>
  <c r="AS5" i="1" s="1"/>
  <c r="AD7" i="1"/>
  <c r="AP7" i="1" s="1"/>
  <c r="AQ7" i="1" s="1"/>
  <c r="AD2" i="1"/>
  <c r="AP2" i="1" s="1"/>
  <c r="AQ2" i="1" s="1"/>
  <c r="AD4" i="1"/>
  <c r="AR4" i="1" s="1"/>
  <c r="AS4" i="1" s="1"/>
  <c r="AM2" i="1"/>
  <c r="AO2" i="1" s="1"/>
  <c r="AM3" i="1"/>
  <c r="AO3" i="1" s="1"/>
  <c r="AM6" i="1"/>
  <c r="AO6" i="1" s="1"/>
  <c r="AP6" i="1"/>
  <c r="AQ6" i="1" s="1"/>
  <c r="AP3" i="1" l="1"/>
  <c r="AQ3" i="1" s="1"/>
  <c r="AR7" i="1"/>
  <c r="AS7" i="1" s="1"/>
  <c r="AM7" i="1"/>
  <c r="AO7" i="1" s="1"/>
  <c r="AM5" i="1"/>
  <c r="AO5" i="1" s="1"/>
  <c r="AP5" i="1"/>
  <c r="AQ5" i="1" s="1"/>
  <c r="AR2" i="1"/>
  <c r="AS2" i="1" s="1"/>
  <c r="AM4" i="1"/>
  <c r="AO4" i="1" s="1"/>
  <c r="AP4" i="1"/>
  <c r="AQ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N1" authorId="0" shapeId="0" xr:uid="{212AEF69-8FB7-439C-B2EC-76A10AB7C0FD}">
      <text>
        <r>
          <rPr>
            <sz val="11"/>
            <rFont val="Calibri"/>
            <family val="2"/>
          </rPr>
          <t>[China RMB Cost]/[Exchange Rate]</t>
        </r>
      </text>
    </comment>
    <comment ref="W1" authorId="0" shapeId="0" xr:uid="{82683D15-CBB8-4274-BA4E-EC6ABF7F410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A7F07CF0-B26B-4B24-859B-8908817A8701}">
      <text>
        <r>
          <rPr>
            <sz val="11"/>
            <rFont val="Calibri"/>
            <family val="2"/>
          </rPr>
          <t>65/[Cubic Meter per Carton]*[Case Pack]</t>
        </r>
      </text>
    </comment>
    <comment ref="Z1" authorId="0" shapeId="0" xr:uid="{BCF268AB-7D4F-4422-860D-86AFBECC431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5BD921D8-3561-4D2F-B76F-B62CB197E02F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B3B3EE8F-7280-4AE2-99C5-F7682C3E2EA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80A47222-2897-48CD-8E23-358EBDF43E0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1" authorId="0" shapeId="0" xr:uid="{2D04D615-B17E-4636-945E-C4D5BAE5CF3B}">
      <text>
        <r>
          <rPr>
            <sz val="11"/>
            <rFont val="Calibri"/>
            <family val="2"/>
          </rPr>
          <t>[JLA POE Price Quote (Value)]*[Load 1 %]</t>
        </r>
      </text>
    </comment>
    <comment ref="AK1" authorId="0" shapeId="0" xr:uid="{E0BAD955-03EB-49F0-8D4C-9BC35A321C5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1" authorId="0" shapeId="0" xr:uid="{10045D39-BCF3-4B40-AA13-E6AC67EE177C}">
      <text>
        <r>
          <rPr>
            <sz val="11"/>
            <rFont val="Calibri"/>
            <family val="2"/>
          </rPr>
          <t>[LDP Cost $]+[General Load $]+[Load 1 $]</t>
        </r>
      </text>
    </comment>
    <comment ref="AN1" authorId="0" shapeId="0" xr:uid="{D82CE0E9-8DD1-458A-870D-FE789C4653FD}">
      <text>
        <r>
          <rPr>
            <sz val="11"/>
            <rFont val="Calibri"/>
            <family val="2"/>
          </rPr>
          <t>[JLA Quoted Price w/ Load]*0.975</t>
        </r>
      </text>
    </comment>
    <comment ref="AO1" authorId="0" shapeId="0" xr:uid="{3E8008A7-8E2F-45BB-B2D6-71BE0AB053DE}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P1" authorId="0" shapeId="0" xr:uid="{C271D6A9-DA88-48D2-BC03-24D3E0FEFD1A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1" authorId="0" shapeId="0" xr:uid="{A91BEC5D-6223-4D2F-8ECC-85D903604028}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R1" authorId="0" shapeId="0" xr:uid="{53E24C07-A4B2-49E1-8CC4-FAFD4A77634D}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S1" authorId="0" shapeId="0" xr:uid="{E0202F74-1FE1-4ACD-B40D-55A7C700C456}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AV1" authorId="0" shapeId="0" xr:uid="{85D17659-8D53-4152-8CCE-A3C32296F0E7}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AX1" authorId="0" shapeId="0" xr:uid="{0F0F4654-7EB9-4FDC-A679-501440D8DCC6}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<sst xmlns="http://schemas.openxmlformats.org/spreadsheetml/2006/main" count="110" uniqueCount="66">
  <si>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</si>
  <si>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</si>
  <si>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</si>
  <si>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</si>
  <si>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</si>
  <si>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</si>
  <si>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</si>
  <si>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</si>
  <si>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</si>
  <si>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</si>
  <si>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</si>
  <si>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</si>
  <si>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</si>
  <si>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</si>
  <si>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</si>
  <si>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</si>
  <si>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</si>
  <si>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</si>
  <si>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</si>
  <si>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</si>
  <si>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</si>
  <si>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</si>
  <si>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</si>
  <si>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</si>
  <si>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</si>
  <si>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</si>
  <si>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</si>
  <si>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</si>
  <si>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</si>
  <si>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</si>
  <si>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</si>
  <si>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</si>
  <si>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</si>
  <si>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</si>
  <si>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</si>
  <si>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</si>
  <si>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</si>
  <si>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</si>
  <si>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</si>
  <si>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</si>
  <si>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</si>
  <si>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</si>
  <si>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</si>
  <si>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</si>
  <si>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</si>
  <si>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</si>
  <si>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Suggested Retail Price</t>
  </si>
  <si>
    <t>Retailer IMU</t>
  </si>
  <si>
    <t>Total Quantity</t>
  </si>
  <si>
    <t>Total Sales</t>
  </si>
  <si>
    <t>Madison Park</t>
  </si>
  <si>
    <t>COMFORTER (SET)(10)</t>
  </si>
  <si>
    <t>Jewel</t>
  </si>
  <si>
    <t xml:space="preserve">Jewel 6pcs Comforter Set </t>
  </si>
  <si>
    <t xml:space="preserve">Comforter/Sham face: 100% polyester jacquard     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</si>
  <si>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Queen: 90x92" /20x26" (2)/60x80+15"/12x16"(1)/16x16" (1)</t>
  </si>
  <si>
    <t>Gray</t>
  </si>
  <si>
    <t>9404.40.9022</t>
  </si>
  <si>
    <t>Funding</t>
  </si>
  <si>
    <t>King:: 106x94"/20x36"(2)/78x80+15"/12x16"(1)/16x16"(1)</t>
  </si>
  <si>
    <t>Cal King:: 106x94"/20x36"(2)/72x84+15"/12x16"(1)/16x16"(1)</t>
  </si>
  <si>
    <t>Janet</t>
  </si>
  <si>
    <t xml:space="preserve">Janet 6pcs Comforter Set </t>
  </si>
  <si>
    <t xml:space="preserve">Comforter/Sham face: 100% polyester slub with embroidery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</si>
  <si>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Blue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</si>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</sst>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wrapText="1"/>
    </xf>
    <xf numFmtId="164" fontId="2" fillId="6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4" fontId="5" fillId="4" borderId="1" xfId="1" applyNumberFormat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64" fontId="6" fillId="7" borderId="1" xfId="1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2" applyBorder="1" applyAlignment="1" applyProtection="1">
      <alignment horizontal="left"/>
      <protection locked="0"/>
    </xf>
    <xf numFmtId="164" fontId="0" fillId="8" borderId="1" xfId="3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4" fontId="0" fillId="8" borderId="1" xfId="0" applyNumberForma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</cellXfs>
  <cellStyles count="5">
    <cellStyle name="Currency 2" xfId="3" xr:uid="{0EB5AAE3-03C2-4FB7-AB25-D522A6E0D7B3}"/>
    <cellStyle name="Normal" xfId="0" builtinId="0"/>
    <cellStyle name="Normal 2 18 2" xfId="1" xr:uid="{5F6BE052-357D-4E37-92D2-BCB944E85530}"/>
    <cellStyle name="Percent 2" xfId="4" xr:uid="{B2656459-D951-4A1A-AC92-9A361926A251}"/>
    <cellStyle name="样式 1 2" xfId="2" xr:uid="{BD68E6F4-EE54-4AA2-8F61-D6F70ABAB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932-70D0-475C-8A62-80A268E538CF}">
  <dimension ref="A1:BA7"/>
  <sheetViews>
    <sheetView tabSelected="1" topLeftCell="L1" workbookViewId="0">
      <pane ySplit="1" topLeftCell="A2" activePane="bottomLeft" state="frozen"/>
      <selection pane="bottomLeft" activeCell="O12" sqref="O12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7.54296875" style="1" customWidth="1"/>
    <col min="5" max="5" width="7.453125" style="1" customWidth="1"/>
    <col min="6" max="6" width="8.54296875" style="1" customWidth="1"/>
    <col min="7" max="7" width="7" style="1" customWidth="1"/>
    <col min="8" max="9" width="6.1796875" style="1" customWidth="1"/>
    <col min="10" max="10" width="6.81640625" style="1" customWidth="1"/>
    <col min="11" max="11" width="5.6328125" style="1" customWidth="1"/>
    <col min="12" max="12" width="9.7265625" style="2" customWidth="1"/>
    <col min="13" max="13" width="8" style="2" customWidth="1"/>
    <col min="14" max="14" width="12" style="3" customWidth="1"/>
    <col min="15" max="15" width="8.54296875" style="3" customWidth="1"/>
    <col min="16" max="16" width="8.08984375" style="3" customWidth="1"/>
    <col min="17" max="17" width="9.36328125" style="1" customWidth="1"/>
    <col min="18" max="18" width="8.1796875" style="2" customWidth="1"/>
    <col min="19" max="19" width="8.7265625" style="2" customWidth="1"/>
    <col min="20" max="20" width="7.1796875" style="2" customWidth="1"/>
    <col min="21" max="21" width="9" style="2" customWidth="1"/>
    <col min="22" max="22" width="6.26953125" style="4" customWidth="1"/>
    <col min="23" max="23" width="10" style="2" customWidth="1"/>
    <col min="24" max="24" width="9.81640625" style="4" customWidth="1"/>
    <col min="25" max="25" width="7.81640625" style="1" customWidth="1"/>
    <col min="26" max="26" width="8.90625" style="3" customWidth="1"/>
    <col min="27" max="27" width="7.81640625" style="1" customWidth="1"/>
    <col min="28" max="28" width="8.453125" style="5" customWidth="1"/>
    <col min="29" max="29" width="9" style="3" customWidth="1"/>
    <col min="30" max="30" width="8.36328125" style="3" customWidth="1"/>
    <col min="31" max="31" width="8.08984375" style="5" customWidth="1"/>
    <col min="32" max="35" width="9.26953125" style="3" customWidth="1"/>
    <col min="36" max="36" width="11.6328125" style="5" customWidth="1"/>
    <col min="37" max="37" width="10.90625" style="3" customWidth="1"/>
    <col min="38" max="38" width="9.6328125" style="1" customWidth="1"/>
    <col min="39" max="39" width="11.81640625" style="3" customWidth="1"/>
    <col min="40" max="40" width="10.453125" style="3" customWidth="1"/>
    <col min="41" max="41" width="9.453125" style="5" customWidth="1"/>
    <col min="42" max="42" width="9.7265625" style="5" customWidth="1"/>
    <col min="43" max="44" width="7.08984375" style="5" customWidth="1"/>
    <col min="45" max="45" width="9.453125" style="5" customWidth="1"/>
    <col min="46" max="46" width="9.6328125" style="3" customWidth="1"/>
    <col min="47" max="47" width="7.7265625" style="3" customWidth="1"/>
    <col min="48" max="48" width="12.08984375" style="5" customWidth="1"/>
    <col min="49" max="49" width="12.1796875" style="3" customWidth="1"/>
    <col min="50" max="51" width="9.1796875" style="1"/>
    <col min="52" max="53" width="9.1796875" style="3"/>
    <col min="54" max="16384" width="9.1796875" style="1"/>
  </cols>
  <sheetData>
    <row r="1" spans="1:53" ht="68" customHeight="1" x14ac:dyDescent="0.35">
      <c r="A1" s="9" t="s">
        <v>0</v>
      </c>
      <c r="B1" s="10" t="s">
        <v>1</v>
      </c>
      <c r="C1" s="1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2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8" t="s">
        <v>21</v>
      </c>
      <c r="W1" s="19" t="s">
        <v>22</v>
      </c>
      <c r="X1" s="20" t="s">
        <v>23</v>
      </c>
      <c r="Y1" s="8" t="s">
        <v>24</v>
      </c>
      <c r="Z1" s="21" t="s">
        <v>25</v>
      </c>
      <c r="AA1" s="8" t="s">
        <v>26</v>
      </c>
      <c r="AB1" s="22" t="s">
        <v>27</v>
      </c>
      <c r="AC1" s="23" t="s">
        <v>28</v>
      </c>
      <c r="AD1" s="21" t="s">
        <v>29</v>
      </c>
      <c r="AE1" s="22" t="s">
        <v>30</v>
      </c>
      <c r="AF1" s="21" t="s">
        <v>31</v>
      </c>
      <c r="AG1" s="16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8" t="s">
        <v>37</v>
      </c>
      <c r="AM1" s="24" t="s">
        <v>38</v>
      </c>
      <c r="AN1" s="24" t="s">
        <v>39</v>
      </c>
      <c r="AO1" s="25" t="s">
        <v>40</v>
      </c>
      <c r="AP1" s="25" t="s">
        <v>41</v>
      </c>
      <c r="AQ1" s="25" t="s">
        <v>42</v>
      </c>
      <c r="AR1" s="25" t="s">
        <v>43</v>
      </c>
      <c r="AS1" s="25" t="s">
        <v>44</v>
      </c>
      <c r="AT1" s="26" t="s">
        <v>45</v>
      </c>
      <c r="AU1" s="27" t="s">
        <v>46</v>
      </c>
      <c r="AV1" s="25" t="s">
        <v>47</v>
      </c>
      <c r="AW1" s="8" t="s">
        <v>48</v>
      </c>
      <c r="AX1" s="21" t="s">
        <v>49</v>
      </c>
      <c r="AZ1" s="1"/>
      <c r="BA1" s="1"/>
    </row>
    <row r="2" spans="1:53" ht="14.5" customHeight="1" x14ac:dyDescent="0.35">
      <c r="A2" s="28"/>
      <c r="B2" s="29" t="s">
        <v>50</v>
      </c>
      <c r="C2" t="s">
        <v>51</v>
      </c>
      <c r="D2" s="28" t="s">
        <v>52</v>
      </c>
      <c r="E2" s="30" t="s">
        <v>53</v>
      </c>
      <c r="F2" s="29" t="s">
        <v>54</v>
      </c>
      <c r="G2" s="28" t="s">
        <v>55</v>
      </c>
      <c r="H2" s="28"/>
      <c r="I2" s="28" t="s">
        <v>56</v>
      </c>
      <c r="J2" s="28"/>
      <c r="K2" s="28"/>
      <c r="L2" s="41">
        <v>143.5</v>
      </c>
      <c r="M2" s="41">
        <v>8.1999999999999993</v>
      </c>
      <c r="N2" s="31">
        <f>IF(ISERROR(L2/M2),"",L2/M2)</f>
        <v>17.5</v>
      </c>
      <c r="O2" s="32">
        <f>ROUND(N2,2)</f>
        <v>17.5</v>
      </c>
      <c r="P2" s="7"/>
      <c r="Q2" s="7" t="s">
        <v>65</v>
      </c>
      <c r="R2" s="28">
        <v>57</v>
      </c>
      <c r="S2" s="28">
        <v>56</v>
      </c>
      <c r="T2" s="28">
        <v>26</v>
      </c>
      <c r="U2" s="28">
        <v>4.3</v>
      </c>
      <c r="V2" s="33">
        <v>1</v>
      </c>
      <c r="W2" s="34">
        <f>IF(R2="","",R2*S2*T2/1000000)</f>
        <v>8.2991999999999996E-2</v>
      </c>
      <c r="X2" s="35">
        <f>IF(V2="","",65/W2*V2)</f>
        <v>783.20802005012536</v>
      </c>
      <c r="Y2" s="28">
        <v>2750</v>
      </c>
      <c r="Z2" s="36">
        <f>IF(ISERROR(Y2/X2),"",Y2/X2)</f>
        <v>3.5111999999999997</v>
      </c>
      <c r="AA2" s="28" t="s">
        <v>57</v>
      </c>
      <c r="AB2" s="37">
        <v>0.32800000000000001</v>
      </c>
      <c r="AC2" s="36">
        <f>IF(ISERROR(O2*AB2),"",O2*AB2)</f>
        <v>5.74</v>
      </c>
      <c r="AD2" s="36">
        <f t="shared" ref="AD2:AD7" si="0">IF(ISERROR(O2+Z2+AC2),"",O2+Z2+AC2)</f>
        <v>26.751199999999997</v>
      </c>
      <c r="AE2" s="38">
        <v>0.1</v>
      </c>
      <c r="AF2" s="36">
        <f t="shared" ref="AF2:AF7" si="1">IF(ISERROR(AT2*AE2),"",AT2*AE2)</f>
        <v>3.9060000000000006</v>
      </c>
      <c r="AG2" s="28" t="s">
        <v>58</v>
      </c>
      <c r="AH2" s="38">
        <v>4.2000000000000003E-2</v>
      </c>
      <c r="AI2" s="36">
        <f t="shared" ref="AI2:AI7" si="2">IF(ISERROR(AT2*AH2),"",AT2*AH2)</f>
        <v>1.6405200000000002</v>
      </c>
      <c r="AJ2" s="38">
        <v>0.08</v>
      </c>
      <c r="AK2" s="36">
        <f t="shared" ref="AK2:AK7" si="3">IF(ISERROR(AT2*AJ2),"",AT2*AJ2)</f>
        <v>3.1248000000000005</v>
      </c>
      <c r="AL2" s="28">
        <v>2.5</v>
      </c>
      <c r="AM2" s="36">
        <f>IF(ISERROR(AD2+AF2+AI2),"",(AD2+AF2+AI2))</f>
        <v>32.297719999999998</v>
      </c>
      <c r="AN2" s="36">
        <f>IF(ISERROR(AT2*0.975),"",(AT2*0.975))</f>
        <v>38.083500000000001</v>
      </c>
      <c r="AO2" s="39">
        <f>IF(ISERROR((AN2-AM2)/AN2),"",(AN2-AM2)/AN2)</f>
        <v>0.15192353643966552</v>
      </c>
      <c r="AP2" s="36">
        <f>IF(ISERROR(AD2+AF2+AI2+AK2),"",(AD2+AF2+AI2+AK2))</f>
        <v>35.422519999999999</v>
      </c>
      <c r="AQ2" s="39">
        <f>IF(ISERROR((AT2-AP2)/AT2),"",(AT2-AP2)/AT2)</f>
        <v>9.3125448028673924E-2</v>
      </c>
      <c r="AR2" s="36">
        <f>IF(ISERROR(AD2+AF2+AK2+AL2),"",(AD2+AF2+AK2+AL2))</f>
        <v>36.281999999999996</v>
      </c>
      <c r="AS2" s="39">
        <f>IF(ISERROR((AT2-AR2)/AT2),"",(AT2-AR2)/AT2)</f>
        <v>7.1121351766513199E-2</v>
      </c>
      <c r="AT2" s="7">
        <v>39.06</v>
      </c>
      <c r="AU2" s="40">
        <v>69.989999999999995</v>
      </c>
      <c r="AV2" s="39">
        <f>IF(ISERROR((AU2-AT2)/AU2),"",(AU2-AT2)/AU2)</f>
        <v>0.44192027432490349</v>
      </c>
      <c r="AW2" s="6"/>
      <c r="AX2" s="36">
        <f>IF(ISERROR(AT2*AW2),"",AT2*AW2)</f>
        <v>0</v>
      </c>
      <c r="AZ2" s="1"/>
      <c r="BA2" s="1"/>
    </row>
    <row r="3" spans="1:53" ht="14.5" customHeight="1" x14ac:dyDescent="0.35">
      <c r="A3" s="28"/>
      <c r="B3" s="29" t="s">
        <v>50</v>
      </c>
      <c r="C3" t="s">
        <v>51</v>
      </c>
      <c r="D3" s="28" t="s">
        <v>52</v>
      </c>
      <c r="E3" s="30" t="s">
        <v>53</v>
      </c>
      <c r="F3" s="29" t="s">
        <v>54</v>
      </c>
      <c r="G3" s="28" t="s">
        <v>59</v>
      </c>
      <c r="H3" s="28"/>
      <c r="I3" s="28" t="s">
        <v>56</v>
      </c>
      <c r="J3" s="28"/>
      <c r="K3" s="28"/>
      <c r="L3" s="41">
        <v>161</v>
      </c>
      <c r="M3" s="41">
        <v>8.1999999999999993</v>
      </c>
      <c r="N3" s="31">
        <f t="shared" ref="N3:N7" si="4">IF(ISERROR(L3/M3),"",L3/M3)</f>
        <v>19.634146341463417</v>
      </c>
      <c r="O3" s="32">
        <f t="shared" ref="O3:O7" si="5">ROUND(N3,2)</f>
        <v>19.63</v>
      </c>
      <c r="P3" s="7"/>
      <c r="Q3" s="7" t="s">
        <v>65</v>
      </c>
      <c r="R3" s="28">
        <v>57</v>
      </c>
      <c r="S3" s="28">
        <v>56</v>
      </c>
      <c r="T3" s="28">
        <v>28</v>
      </c>
      <c r="U3" s="28">
        <v>4.8</v>
      </c>
      <c r="V3" s="28">
        <v>1</v>
      </c>
      <c r="W3" s="34">
        <f t="shared" ref="W3:W7" si="6">IF(R3="","",R3*S3*T3/1000000)</f>
        <v>8.9375999999999997E-2</v>
      </c>
      <c r="X3" s="35">
        <f t="shared" ref="X3:X7" si="7">IF(V3="","",65/W3*V3)</f>
        <v>727.26459004654498</v>
      </c>
      <c r="Y3" s="28">
        <v>2750</v>
      </c>
      <c r="Z3" s="36">
        <f t="shared" ref="Z3:Z7" si="8">IF(ISERROR(Y3/X3),"",Y3/X3)</f>
        <v>3.7812923076923073</v>
      </c>
      <c r="AA3" s="28" t="s">
        <v>57</v>
      </c>
      <c r="AB3" s="37">
        <v>0.32800000000000001</v>
      </c>
      <c r="AC3" s="36">
        <f>IF(ISERROR(O3*AB3),"",O3*AB3)</f>
        <v>6.4386400000000004</v>
      </c>
      <c r="AD3" s="36">
        <f t="shared" si="0"/>
        <v>29.849932307692306</v>
      </c>
      <c r="AE3" s="38">
        <v>0.1</v>
      </c>
      <c r="AF3" s="36">
        <f t="shared" si="1"/>
        <v>4.492</v>
      </c>
      <c r="AG3" s="28" t="s">
        <v>58</v>
      </c>
      <c r="AH3" s="38">
        <v>4.2000000000000003E-2</v>
      </c>
      <c r="AI3" s="36">
        <f t="shared" si="2"/>
        <v>1.8866400000000001</v>
      </c>
      <c r="AJ3" s="38">
        <v>0.08</v>
      </c>
      <c r="AK3" s="36">
        <f t="shared" si="3"/>
        <v>3.5936000000000003</v>
      </c>
      <c r="AL3" s="28">
        <v>2.5</v>
      </c>
      <c r="AM3" s="36">
        <f t="shared" ref="AM3:AM7" si="9">IF(ISERROR(AD3+AF3+AI3),"",(AD3+AF3+AI3))</f>
        <v>36.228572307692303</v>
      </c>
      <c r="AN3" s="36">
        <f t="shared" ref="AN3:AN7" si="10">IF(ISERROR(AT3*0.975),"",(AT3*0.975))</f>
        <v>43.797000000000004</v>
      </c>
      <c r="AO3" s="39">
        <f t="shared" ref="AO3:AO7" si="11">IF(ISERROR((AN3-AM3)/AN3),"",(AN3-AM3)/AN3)</f>
        <v>0.17280698888754253</v>
      </c>
      <c r="AP3" s="36">
        <f t="shared" ref="AP3:AP7" si="12">IF(ISERROR(AD3+AF3+AI3+AK3),"",(AD3+AF3+AI3+AK3))</f>
        <v>39.822172307692306</v>
      </c>
      <c r="AQ3" s="39">
        <f t="shared" ref="AQ3:AQ7" si="13">IF(ISERROR((AT3-AP3)/AT3),"",(AT3-AP3)/AT3)</f>
        <v>0.11348681416535387</v>
      </c>
      <c r="AR3" s="36">
        <f t="shared" ref="AR3:AR7" si="14">IF(ISERROR(AD3+AF3+AK3+AL3),"",(AD3+AF3+AK3+AL3))</f>
        <v>40.435532307692306</v>
      </c>
      <c r="AS3" s="39">
        <f t="shared" ref="AS3:AS7" si="15">IF(ISERROR((AT3-AR3)/AT3),"",(AT3-AR3)/AT3)</f>
        <v>9.98323172820057E-2</v>
      </c>
      <c r="AT3" s="7">
        <v>44.92</v>
      </c>
      <c r="AU3" s="40">
        <v>89.99</v>
      </c>
      <c r="AV3" s="39">
        <f t="shared" ref="AV3:AV7" si="16">IF(ISERROR((AU3-AT3)/AU3),"",(AU3-AT3)/AU3)</f>
        <v>0.50083342593621505</v>
      </c>
      <c r="AW3" s="6"/>
      <c r="AX3" s="36">
        <f t="shared" ref="AX3:AX7" si="17">IF(ISERROR(AT3*AW3),"",AT3*AW3)</f>
        <v>0</v>
      </c>
      <c r="AZ3" s="1"/>
      <c r="BA3" s="1"/>
    </row>
    <row r="4" spans="1:53" ht="14.5" customHeight="1" x14ac:dyDescent="0.35">
      <c r="A4" s="28"/>
      <c r="B4" s="29" t="s">
        <v>50</v>
      </c>
      <c r="C4" t="s">
        <v>51</v>
      </c>
      <c r="D4" s="28" t="s">
        <v>52</v>
      </c>
      <c r="E4" s="30" t="s">
        <v>53</v>
      </c>
      <c r="F4" s="29" t="s">
        <v>54</v>
      </c>
      <c r="G4" s="28" t="s">
        <v>60</v>
      </c>
      <c r="H4" s="28"/>
      <c r="I4" s="28" t="s">
        <v>56</v>
      </c>
      <c r="J4" s="28"/>
      <c r="K4" s="28"/>
      <c r="L4" s="41">
        <v>161</v>
      </c>
      <c r="M4" s="41">
        <v>8.1999999999999993</v>
      </c>
      <c r="N4" s="31">
        <f t="shared" si="4"/>
        <v>19.634146341463417</v>
      </c>
      <c r="O4" s="32">
        <f t="shared" si="5"/>
        <v>19.63</v>
      </c>
      <c r="P4" s="7"/>
      <c r="Q4" s="7" t="s">
        <v>65</v>
      </c>
      <c r="R4" s="28">
        <v>57</v>
      </c>
      <c r="S4" s="28">
        <v>56</v>
      </c>
      <c r="T4" s="28">
        <v>28</v>
      </c>
      <c r="U4" s="28">
        <v>4.8</v>
      </c>
      <c r="V4" s="28">
        <v>1</v>
      </c>
      <c r="W4" s="34">
        <f t="shared" si="6"/>
        <v>8.9375999999999997E-2</v>
      </c>
      <c r="X4" s="35">
        <f t="shared" si="7"/>
        <v>727.26459004654498</v>
      </c>
      <c r="Y4" s="28">
        <v>2750</v>
      </c>
      <c r="Z4" s="36">
        <f t="shared" si="8"/>
        <v>3.7812923076923073</v>
      </c>
      <c r="AA4" s="28" t="s">
        <v>57</v>
      </c>
      <c r="AB4" s="37">
        <v>0.32800000000000001</v>
      </c>
      <c r="AC4" s="36">
        <f t="shared" ref="AC4:AC7" si="18">IF(ISERROR(O4*AB4),"",O4*AB4)</f>
        <v>6.4386400000000004</v>
      </c>
      <c r="AD4" s="36">
        <f t="shared" si="0"/>
        <v>29.849932307692306</v>
      </c>
      <c r="AE4" s="38">
        <v>0.1</v>
      </c>
      <c r="AF4" s="36">
        <f t="shared" si="1"/>
        <v>4.492</v>
      </c>
      <c r="AG4" s="28" t="s">
        <v>58</v>
      </c>
      <c r="AH4" s="38">
        <v>4.2000000000000003E-2</v>
      </c>
      <c r="AI4" s="36">
        <f t="shared" si="2"/>
        <v>1.8866400000000001</v>
      </c>
      <c r="AJ4" s="38">
        <v>0.08</v>
      </c>
      <c r="AK4" s="36">
        <f t="shared" si="3"/>
        <v>3.5936000000000003</v>
      </c>
      <c r="AL4" s="28">
        <v>2.5</v>
      </c>
      <c r="AM4" s="36">
        <f t="shared" si="9"/>
        <v>36.228572307692303</v>
      </c>
      <c r="AN4" s="36">
        <f t="shared" si="10"/>
        <v>43.797000000000004</v>
      </c>
      <c r="AO4" s="39">
        <f t="shared" si="11"/>
        <v>0.17280698888754253</v>
      </c>
      <c r="AP4" s="36">
        <f t="shared" si="12"/>
        <v>39.822172307692306</v>
      </c>
      <c r="AQ4" s="39">
        <f t="shared" si="13"/>
        <v>0.11348681416535387</v>
      </c>
      <c r="AR4" s="36">
        <f t="shared" si="14"/>
        <v>40.435532307692306</v>
      </c>
      <c r="AS4" s="39">
        <f t="shared" si="15"/>
        <v>9.98323172820057E-2</v>
      </c>
      <c r="AT4" s="7">
        <v>44.92</v>
      </c>
      <c r="AU4" s="40">
        <v>89.99</v>
      </c>
      <c r="AV4" s="39">
        <f t="shared" si="16"/>
        <v>0.50083342593621505</v>
      </c>
      <c r="AW4" s="6"/>
      <c r="AX4" s="36">
        <f t="shared" si="17"/>
        <v>0</v>
      </c>
      <c r="AZ4" s="1"/>
      <c r="BA4" s="1"/>
    </row>
    <row r="5" spans="1:53" ht="14.5" customHeight="1" x14ac:dyDescent="0.35">
      <c r="A5" s="28"/>
      <c r="B5" s="29" t="s">
        <v>50</v>
      </c>
      <c r="C5" t="s">
        <v>51</v>
      </c>
      <c r="D5" s="28" t="s">
        <v>61</v>
      </c>
      <c r="E5" s="30" t="s">
        <v>62</v>
      </c>
      <c r="F5" s="29" t="s">
        <v>63</v>
      </c>
      <c r="G5" s="28" t="s">
        <v>55</v>
      </c>
      <c r="H5" s="28"/>
      <c r="I5" s="28" t="s">
        <v>64</v>
      </c>
      <c r="J5" s="28"/>
      <c r="K5" s="28"/>
      <c r="L5" s="41">
        <v>132.6</v>
      </c>
      <c r="M5" s="41">
        <v>8.1999999999999993</v>
      </c>
      <c r="N5" s="31">
        <f t="shared" si="4"/>
        <v>16.170731707317074</v>
      </c>
      <c r="O5" s="32">
        <f t="shared" si="5"/>
        <v>16.170000000000002</v>
      </c>
      <c r="P5" s="7"/>
      <c r="Q5" s="7" t="s">
        <v>65</v>
      </c>
      <c r="R5" s="28">
        <v>57</v>
      </c>
      <c r="S5" s="28">
        <v>56</v>
      </c>
      <c r="T5" s="28">
        <v>26</v>
      </c>
      <c r="U5" s="28">
        <v>4.3</v>
      </c>
      <c r="V5" s="28">
        <v>1</v>
      </c>
      <c r="W5" s="34">
        <f t="shared" si="6"/>
        <v>8.2991999999999996E-2</v>
      </c>
      <c r="X5" s="35">
        <f t="shared" si="7"/>
        <v>783.20802005012536</v>
      </c>
      <c r="Y5" s="28">
        <v>2750</v>
      </c>
      <c r="Z5" s="36">
        <f t="shared" si="8"/>
        <v>3.5111999999999997</v>
      </c>
      <c r="AA5" s="28" t="s">
        <v>57</v>
      </c>
      <c r="AB5" s="37">
        <v>0.32800000000000001</v>
      </c>
      <c r="AC5" s="36">
        <f t="shared" si="18"/>
        <v>5.3037600000000005</v>
      </c>
      <c r="AD5" s="36">
        <f t="shared" si="0"/>
        <v>24.984960000000001</v>
      </c>
      <c r="AE5" s="38">
        <v>0.1</v>
      </c>
      <c r="AF5" s="36">
        <f t="shared" si="1"/>
        <v>3.9060000000000006</v>
      </c>
      <c r="AG5" s="28" t="s">
        <v>58</v>
      </c>
      <c r="AH5" s="38">
        <v>4.2000000000000003E-2</v>
      </c>
      <c r="AI5" s="36">
        <f t="shared" si="2"/>
        <v>1.6405200000000002</v>
      </c>
      <c r="AJ5" s="38">
        <v>0.08</v>
      </c>
      <c r="AK5" s="36">
        <f t="shared" si="3"/>
        <v>3.1248000000000005</v>
      </c>
      <c r="AL5" s="28">
        <v>2.5</v>
      </c>
      <c r="AM5" s="36">
        <f t="shared" si="9"/>
        <v>30.531479999999998</v>
      </c>
      <c r="AN5" s="36">
        <f t="shared" si="10"/>
        <v>38.083500000000001</v>
      </c>
      <c r="AO5" s="39">
        <f t="shared" si="11"/>
        <v>0.19830162668872353</v>
      </c>
      <c r="AP5" s="36">
        <f t="shared" si="12"/>
        <v>33.656279999999995</v>
      </c>
      <c r="AQ5" s="39">
        <f t="shared" si="13"/>
        <v>0.13834408602150555</v>
      </c>
      <c r="AR5" s="36">
        <f t="shared" si="14"/>
        <v>34.51576</v>
      </c>
      <c r="AS5" s="39">
        <f t="shared" si="15"/>
        <v>0.11633998975934465</v>
      </c>
      <c r="AT5" s="7">
        <v>39.06</v>
      </c>
      <c r="AU5" s="40">
        <v>69.989999999999995</v>
      </c>
      <c r="AV5" s="39">
        <f t="shared" si="16"/>
        <v>0.44192027432490349</v>
      </c>
      <c r="AW5" s="6"/>
      <c r="AX5" s="36">
        <f t="shared" si="17"/>
        <v>0</v>
      </c>
      <c r="AZ5" s="1"/>
      <c r="BA5" s="1"/>
    </row>
    <row r="6" spans="1:53" ht="14.5" customHeight="1" x14ac:dyDescent="0.35">
      <c r="A6" s="28"/>
      <c r="B6" s="29" t="s">
        <v>50</v>
      </c>
      <c r="C6" t="s">
        <v>51</v>
      </c>
      <c r="D6" s="28" t="s">
        <v>61</v>
      </c>
      <c r="E6" s="30" t="s">
        <v>62</v>
      </c>
      <c r="F6" s="29" t="s">
        <v>63</v>
      </c>
      <c r="G6" s="28" t="s">
        <v>59</v>
      </c>
      <c r="H6" s="28"/>
      <c r="I6" s="28" t="s">
        <v>64</v>
      </c>
      <c r="J6" s="28"/>
      <c r="K6" s="28"/>
      <c r="L6" s="41">
        <v>141.69999999999999</v>
      </c>
      <c r="M6" s="41">
        <v>8.1999999999999993</v>
      </c>
      <c r="N6" s="31">
        <f t="shared" si="4"/>
        <v>17.280487804878049</v>
      </c>
      <c r="O6" s="32">
        <f t="shared" si="5"/>
        <v>17.28</v>
      </c>
      <c r="P6" s="7"/>
      <c r="Q6" s="7" t="s">
        <v>65</v>
      </c>
      <c r="R6" s="28">
        <v>57</v>
      </c>
      <c r="S6" s="28">
        <v>56</v>
      </c>
      <c r="T6" s="28">
        <v>28</v>
      </c>
      <c r="U6" s="28">
        <v>4.8</v>
      </c>
      <c r="V6" s="28">
        <v>1</v>
      </c>
      <c r="W6" s="34">
        <f t="shared" si="6"/>
        <v>8.9375999999999997E-2</v>
      </c>
      <c r="X6" s="35">
        <f t="shared" si="7"/>
        <v>727.26459004654498</v>
      </c>
      <c r="Y6" s="28">
        <v>2750</v>
      </c>
      <c r="Z6" s="36">
        <f t="shared" si="8"/>
        <v>3.7812923076923073</v>
      </c>
      <c r="AA6" s="28" t="s">
        <v>57</v>
      </c>
      <c r="AB6" s="37">
        <v>0.32800000000000001</v>
      </c>
      <c r="AC6" s="36">
        <f t="shared" si="18"/>
        <v>5.6678400000000009</v>
      </c>
      <c r="AD6" s="36">
        <f t="shared" si="0"/>
        <v>26.729132307692311</v>
      </c>
      <c r="AE6" s="38">
        <v>0.1</v>
      </c>
      <c r="AF6" s="36">
        <f t="shared" si="1"/>
        <v>4.492</v>
      </c>
      <c r="AG6" s="28" t="s">
        <v>58</v>
      </c>
      <c r="AH6" s="38">
        <v>4.2000000000000003E-2</v>
      </c>
      <c r="AI6" s="36">
        <f t="shared" si="2"/>
        <v>1.8866400000000001</v>
      </c>
      <c r="AJ6" s="38">
        <v>0.08</v>
      </c>
      <c r="AK6" s="36">
        <f t="shared" si="3"/>
        <v>3.5936000000000003</v>
      </c>
      <c r="AL6" s="28">
        <v>2.5</v>
      </c>
      <c r="AM6" s="36">
        <f t="shared" si="9"/>
        <v>33.107772307692315</v>
      </c>
      <c r="AN6" s="36">
        <f t="shared" si="10"/>
        <v>43.797000000000004</v>
      </c>
      <c r="AO6" s="39">
        <f t="shared" si="11"/>
        <v>0.24406301098951272</v>
      </c>
      <c r="AP6" s="36">
        <f t="shared" si="12"/>
        <v>36.701372307692317</v>
      </c>
      <c r="AQ6" s="39">
        <f t="shared" si="13"/>
        <v>0.1829614357147748</v>
      </c>
      <c r="AR6" s="36">
        <f t="shared" si="14"/>
        <v>37.31473230769231</v>
      </c>
      <c r="AS6" s="39">
        <f t="shared" si="15"/>
        <v>0.16930693883142678</v>
      </c>
      <c r="AT6" s="7">
        <v>44.92</v>
      </c>
      <c r="AU6" s="40">
        <v>89.99</v>
      </c>
      <c r="AV6" s="39">
        <f t="shared" si="16"/>
        <v>0.50083342593621505</v>
      </c>
      <c r="AW6" s="6"/>
      <c r="AX6" s="36">
        <f t="shared" si="17"/>
        <v>0</v>
      </c>
      <c r="AZ6" s="1"/>
      <c r="BA6" s="1"/>
    </row>
    <row r="7" spans="1:53" ht="14.5" customHeight="1" x14ac:dyDescent="0.35">
      <c r="A7" s="28"/>
      <c r="B7" s="29" t="s">
        <v>50</v>
      </c>
      <c r="C7" t="s">
        <v>51</v>
      </c>
      <c r="D7" s="28" t="s">
        <v>61</v>
      </c>
      <c r="E7" s="30" t="s">
        <v>62</v>
      </c>
      <c r="F7" s="29" t="s">
        <v>63</v>
      </c>
      <c r="G7" s="28" t="s">
        <v>60</v>
      </c>
      <c r="H7" s="28"/>
      <c r="I7" s="28" t="s">
        <v>64</v>
      </c>
      <c r="J7" s="28"/>
      <c r="K7" s="28"/>
      <c r="L7" s="41">
        <v>141.69999999999999</v>
      </c>
      <c r="M7" s="41">
        <v>8.1999999999999993</v>
      </c>
      <c r="N7" s="31">
        <f t="shared" si="4"/>
        <v>17.280487804878049</v>
      </c>
      <c r="O7" s="32">
        <f t="shared" si="5"/>
        <v>17.28</v>
      </c>
      <c r="P7" s="7"/>
      <c r="Q7" s="7" t="s">
        <v>65</v>
      </c>
      <c r="R7" s="28">
        <v>57</v>
      </c>
      <c r="S7" s="28">
        <v>56</v>
      </c>
      <c r="T7" s="28">
        <v>28</v>
      </c>
      <c r="U7" s="28">
        <v>4.8</v>
      </c>
      <c r="V7" s="28">
        <v>1</v>
      </c>
      <c r="W7" s="34">
        <f t="shared" si="6"/>
        <v>8.9375999999999997E-2</v>
      </c>
      <c r="X7" s="35">
        <f t="shared" si="7"/>
        <v>727.26459004654498</v>
      </c>
      <c r="Y7" s="28">
        <v>2750</v>
      </c>
      <c r="Z7" s="36">
        <f t="shared" si="8"/>
        <v>3.7812923076923073</v>
      </c>
      <c r="AA7" s="28" t="s">
        <v>57</v>
      </c>
      <c r="AB7" s="37">
        <v>0.32800000000000001</v>
      </c>
      <c r="AC7" s="36">
        <f t="shared" si="18"/>
        <v>5.6678400000000009</v>
      </c>
      <c r="AD7" s="36">
        <f t="shared" si="0"/>
        <v>26.729132307692311</v>
      </c>
      <c r="AE7" s="38">
        <v>0.1</v>
      </c>
      <c r="AF7" s="36">
        <f t="shared" si="1"/>
        <v>4.492</v>
      </c>
      <c r="AG7" s="28" t="s">
        <v>58</v>
      </c>
      <c r="AH7" s="38">
        <v>4.2000000000000003E-2</v>
      </c>
      <c r="AI7" s="36">
        <f t="shared" si="2"/>
        <v>1.8866400000000001</v>
      </c>
      <c r="AJ7" s="38">
        <v>0.08</v>
      </c>
      <c r="AK7" s="36">
        <f t="shared" si="3"/>
        <v>3.5936000000000003</v>
      </c>
      <c r="AL7" s="28">
        <v>2.5</v>
      </c>
      <c r="AM7" s="36">
        <f t="shared" si="9"/>
        <v>33.107772307692315</v>
      </c>
      <c r="AN7" s="36">
        <f t="shared" si="10"/>
        <v>43.797000000000004</v>
      </c>
      <c r="AO7" s="39">
        <f t="shared" si="11"/>
        <v>0.24406301098951272</v>
      </c>
      <c r="AP7" s="36">
        <f t="shared" si="12"/>
        <v>36.701372307692317</v>
      </c>
      <c r="AQ7" s="39">
        <f t="shared" si="13"/>
        <v>0.1829614357147748</v>
      </c>
      <c r="AR7" s="36">
        <f t="shared" si="14"/>
        <v>37.31473230769231</v>
      </c>
      <c r="AS7" s="39">
        <f t="shared" si="15"/>
        <v>0.16930693883142678</v>
      </c>
      <c r="AT7" s="7">
        <v>44.92</v>
      </c>
      <c r="AU7" s="40">
        <v>89.99</v>
      </c>
      <c r="AV7" s="39">
        <f t="shared" si="16"/>
        <v>0.50083342593621505</v>
      </c>
      <c r="AW7" s="6"/>
      <c r="AX7" s="36">
        <f t="shared" si="17"/>
        <v>0</v>
      </c>
      <c r="AZ7" s="1"/>
      <c r="BA7" s="1"/>
    </row>
  </sheetData>
  <sheetProtection insertRows="0" deleteRows="0" sort="0"/>
  <protectedRanges>
    <protectedRange sqref="A2:D7 AL1 AM2:AS7 AP1:AS1 AU2:AW7 A8:AW248 F2:AK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2025-04-04T23:29:31Z</dcterms:created>
  <dcterms:modified xsi:type="dcterms:W3CDTF">2025-04-07T18:14:35Z</dcterms:modified>
</cp:coreProperties>
</file>